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glenrothespaper-my.sharepoint.com/personal/david_sharman_glenrothes-paper_com/Documents/Desktop/Corbin 39 modelling/"/>
    </mc:Choice>
  </mc:AlternateContent>
  <xr:revisionPtr revIDLastSave="1000" documentId="8_{DE6CB39B-ED63-4E2F-9079-6064CA3672AE}" xr6:coauthVersionLast="45" xr6:coauthVersionMax="45" xr10:uidLastSave="{06B3B3B7-58F9-44AC-AFF4-34B2C31DB359}"/>
  <bookViews>
    <workbookView xWindow="-28920" yWindow="-120" windowWidth="29040" windowHeight="15990" activeTab="3" xr2:uid="{1D6CE417-46F7-4FC5-B358-4A3BD8F77020}"/>
  </bookViews>
  <sheets>
    <sheet name="imperial" sheetId="1" r:id="rId1"/>
    <sheet name="metric" sheetId="2" r:id="rId2"/>
    <sheet name="draught &amp; displacement" sheetId="4" r:id="rId3"/>
    <sheet name="collected" sheetId="7" r:id="rId4"/>
    <sheet name="mk1 cutter 46' mast" sheetId="5" r:id="rId5"/>
    <sheet name="mk1 cutter 51' mast" sheetId="6" r:id="rId6"/>
    <sheet name="mk1 ketch 46' mast" sheetId="8" r:id="rId7"/>
    <sheet name="mk2 cutter 49' mast" sheetId="9" r:id="rId8"/>
  </sheets>
  <definedNames>
    <definedName name="_xlnm.Print_Area" localSheetId="4">'mk1 cutter 46'' mast'!$A$1:$E$25</definedName>
    <definedName name="_xlnm.Print_Area" localSheetId="5">'mk1 cutter 51'' mast'!$A$1:$E$25</definedName>
    <definedName name="_xlnm.Print_Area" localSheetId="6">'mk1 ketch 46'' mast'!$A$1:$E$25</definedName>
    <definedName name="_xlnm.Print_Area" localSheetId="7">'mk2 cutter 49'' mast'!$A$1:$E$25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7" l="1"/>
  <c r="J25" i="7"/>
  <c r="H25" i="7"/>
  <c r="J31" i="7"/>
  <c r="I31" i="7"/>
  <c r="H31" i="7"/>
  <c r="J30" i="7"/>
  <c r="I30" i="7"/>
  <c r="H30" i="7"/>
  <c r="J29" i="7"/>
  <c r="I29" i="7"/>
  <c r="H29" i="7"/>
  <c r="J28" i="7"/>
  <c r="I28" i="7"/>
  <c r="H28" i="7"/>
  <c r="J27" i="7"/>
  <c r="I27" i="7"/>
  <c r="H27" i="7"/>
  <c r="J26" i="7"/>
  <c r="I26" i="7"/>
  <c r="H26" i="7"/>
  <c r="J24" i="7"/>
  <c r="I24" i="7"/>
  <c r="H24" i="7"/>
  <c r="J23" i="7"/>
  <c r="I23" i="7"/>
  <c r="H23" i="7"/>
  <c r="E27" i="7"/>
  <c r="F27" i="7"/>
  <c r="E28" i="7"/>
  <c r="F28" i="7"/>
  <c r="E29" i="7"/>
  <c r="F29" i="7"/>
  <c r="E30" i="7"/>
  <c r="F30" i="7"/>
  <c r="E31" i="7"/>
  <c r="F31" i="7"/>
  <c r="D28" i="7"/>
  <c r="D29" i="7"/>
  <c r="D30" i="7"/>
  <c r="D31" i="7"/>
  <c r="D27" i="7"/>
  <c r="E25" i="7"/>
  <c r="F25" i="7"/>
  <c r="E26" i="7"/>
  <c r="F26" i="7"/>
  <c r="D26" i="7"/>
  <c r="D25" i="7"/>
  <c r="H57" i="7"/>
  <c r="E23" i="7"/>
  <c r="F23" i="7"/>
  <c r="E24" i="7"/>
  <c r="F24" i="7"/>
  <c r="D24" i="7"/>
  <c r="D23" i="7"/>
  <c r="D4" i="7"/>
  <c r="E4" i="7" s="1"/>
  <c r="F4" i="7"/>
  <c r="H4" i="7"/>
  <c r="I4" i="7"/>
  <c r="J4" i="7"/>
  <c r="L4" i="7"/>
  <c r="M4" i="7"/>
  <c r="N4" i="7"/>
  <c r="D5" i="7"/>
  <c r="E5" i="7" s="1"/>
  <c r="F5" i="7"/>
  <c r="H5" i="7"/>
  <c r="I5" i="7"/>
  <c r="J5" i="7"/>
  <c r="L5" i="7"/>
  <c r="M5" i="7"/>
  <c r="N5" i="7"/>
  <c r="D6" i="7"/>
  <c r="F6" i="7"/>
  <c r="H6" i="7"/>
  <c r="I6" i="7"/>
  <c r="J6" i="7"/>
  <c r="L6" i="7"/>
  <c r="M6" i="7"/>
  <c r="N6" i="7"/>
  <c r="D7" i="7"/>
  <c r="E7" i="7" s="1"/>
  <c r="F7" i="7"/>
  <c r="H7" i="7"/>
  <c r="I7" i="7"/>
  <c r="J7" i="7"/>
  <c r="L7" i="7"/>
  <c r="M7" i="7"/>
  <c r="N7" i="7"/>
  <c r="D8" i="7"/>
  <c r="E8" i="7" s="1"/>
  <c r="F8" i="7"/>
  <c r="H8" i="7"/>
  <c r="I8" i="7"/>
  <c r="J8" i="7"/>
  <c r="L8" i="7"/>
  <c r="M8" i="7"/>
  <c r="N8" i="7"/>
  <c r="D9" i="7"/>
  <c r="E9" i="7" s="1"/>
  <c r="F9" i="7"/>
  <c r="H9" i="7"/>
  <c r="I9" i="7"/>
  <c r="J9" i="7"/>
  <c r="L9" i="7"/>
  <c r="M9" i="7"/>
  <c r="N9" i="7"/>
  <c r="D10" i="7"/>
  <c r="E10" i="7" s="1"/>
  <c r="F10" i="7"/>
  <c r="L10" i="7"/>
  <c r="M10" i="7"/>
  <c r="N10" i="7"/>
  <c r="D11" i="7"/>
  <c r="E11" i="7" s="1"/>
  <c r="F11" i="7"/>
  <c r="H11" i="7"/>
  <c r="I11" i="7"/>
  <c r="J11" i="7"/>
  <c r="L11" i="7"/>
  <c r="M11" i="7"/>
  <c r="N11" i="7"/>
  <c r="D12" i="7"/>
  <c r="E12" i="7" s="1"/>
  <c r="F12" i="7"/>
  <c r="H12" i="7"/>
  <c r="I12" i="7"/>
  <c r="J12" i="7"/>
  <c r="L12" i="7"/>
  <c r="M12" i="7"/>
  <c r="N12" i="7"/>
  <c r="E14" i="7"/>
  <c r="F14" i="7"/>
  <c r="I14" i="7"/>
  <c r="J14" i="7"/>
  <c r="M14" i="7"/>
  <c r="N14" i="7"/>
  <c r="E15" i="7"/>
  <c r="F15" i="7"/>
  <c r="I15" i="7"/>
  <c r="J15" i="7"/>
  <c r="M15" i="7"/>
  <c r="N15" i="7"/>
  <c r="E16" i="7"/>
  <c r="F16" i="7"/>
  <c r="I16" i="7"/>
  <c r="J16" i="7"/>
  <c r="M16" i="7"/>
  <c r="N16" i="7"/>
  <c r="E17" i="7"/>
  <c r="F17" i="7"/>
  <c r="I17" i="7"/>
  <c r="J17" i="7"/>
  <c r="M17" i="7"/>
  <c r="N17" i="7"/>
  <c r="E18" i="7"/>
  <c r="F18" i="7"/>
  <c r="I18" i="7"/>
  <c r="J18" i="7"/>
  <c r="M18" i="7"/>
  <c r="N18" i="7"/>
  <c r="L19" i="7"/>
  <c r="J52" i="7"/>
  <c r="J53" i="7"/>
  <c r="J54" i="7"/>
  <c r="J55" i="7"/>
  <c r="J56" i="7"/>
  <c r="I56" i="7"/>
  <c r="I55" i="7"/>
  <c r="I54" i="7"/>
  <c r="I53" i="7"/>
  <c r="I52" i="7"/>
  <c r="D4" i="9"/>
  <c r="I44" i="7" s="1"/>
  <c r="E4" i="9"/>
  <c r="I42" i="7"/>
  <c r="J42" i="7"/>
  <c r="I43" i="7"/>
  <c r="J43" i="7"/>
  <c r="J44" i="7"/>
  <c r="I45" i="7"/>
  <c r="J45" i="7"/>
  <c r="I46" i="7"/>
  <c r="J46" i="7"/>
  <c r="I47" i="7"/>
  <c r="J47" i="7"/>
  <c r="I48" i="7"/>
  <c r="J48" i="7"/>
  <c r="I49" i="7"/>
  <c r="J49" i="7"/>
  <c r="I50" i="7"/>
  <c r="J50" i="7"/>
  <c r="H43" i="7"/>
  <c r="H44" i="7"/>
  <c r="H45" i="7"/>
  <c r="H46" i="7"/>
  <c r="H47" i="7"/>
  <c r="H48" i="7"/>
  <c r="H49" i="7"/>
  <c r="H50" i="7"/>
  <c r="H42" i="7"/>
  <c r="C4" i="9"/>
  <c r="E32" i="9"/>
  <c r="D32" i="9"/>
  <c r="E26" i="9"/>
  <c r="D26" i="9"/>
  <c r="H25" i="9"/>
  <c r="G25" i="9"/>
  <c r="G22" i="9"/>
  <c r="D22" i="9"/>
  <c r="E21" i="9"/>
  <c r="D21" i="9"/>
  <c r="E20" i="9"/>
  <c r="E22" i="9" s="1"/>
  <c r="D20" i="9"/>
  <c r="G18" i="9"/>
  <c r="D18" i="9"/>
  <c r="E17" i="9"/>
  <c r="D17" i="9"/>
  <c r="E16" i="9"/>
  <c r="D16" i="9"/>
  <c r="G14" i="9"/>
  <c r="D14" i="9"/>
  <c r="E13" i="9"/>
  <c r="D13" i="9"/>
  <c r="E12" i="9"/>
  <c r="E14" i="9" s="1"/>
  <c r="D12" i="9"/>
  <c r="E10" i="9"/>
  <c r="D10" i="9"/>
  <c r="C10" i="9"/>
  <c r="E9" i="9"/>
  <c r="D9" i="9"/>
  <c r="E8" i="9"/>
  <c r="D8" i="9"/>
  <c r="E7" i="9"/>
  <c r="E6" i="9"/>
  <c r="D6" i="9"/>
  <c r="E5" i="9"/>
  <c r="D5" i="9"/>
  <c r="E3" i="9"/>
  <c r="D3" i="9"/>
  <c r="E2" i="9"/>
  <c r="D2" i="9"/>
  <c r="E35" i="8"/>
  <c r="D35" i="8"/>
  <c r="E25" i="8"/>
  <c r="D25" i="8"/>
  <c r="E24" i="8"/>
  <c r="D24" i="8"/>
  <c r="E34" i="8"/>
  <c r="D34" i="8"/>
  <c r="E32" i="8"/>
  <c r="D32" i="8"/>
  <c r="E26" i="8"/>
  <c r="D26" i="8"/>
  <c r="H25" i="8"/>
  <c r="G25" i="8"/>
  <c r="G22" i="8"/>
  <c r="D22" i="8"/>
  <c r="E21" i="8"/>
  <c r="H22" i="8" s="1"/>
  <c r="D21" i="8"/>
  <c r="E20" i="8"/>
  <c r="D20" i="8"/>
  <c r="G18" i="8"/>
  <c r="D18" i="8"/>
  <c r="E17" i="8"/>
  <c r="D17" i="8"/>
  <c r="E16" i="8"/>
  <c r="D16" i="8"/>
  <c r="G14" i="8"/>
  <c r="D14" i="8"/>
  <c r="E13" i="8"/>
  <c r="H14" i="8" s="1"/>
  <c r="D13" i="8"/>
  <c r="E12" i="8"/>
  <c r="E14" i="8" s="1"/>
  <c r="D12" i="8"/>
  <c r="E10" i="8"/>
  <c r="D10" i="8"/>
  <c r="C10" i="8"/>
  <c r="E9" i="8"/>
  <c r="D9" i="8"/>
  <c r="E8" i="8"/>
  <c r="D8" i="8"/>
  <c r="C7" i="8"/>
  <c r="E7" i="8" s="1"/>
  <c r="E6" i="8"/>
  <c r="D6" i="8"/>
  <c r="E5" i="8"/>
  <c r="D5" i="8"/>
  <c r="E3" i="8"/>
  <c r="D3" i="8"/>
  <c r="E2" i="8"/>
  <c r="D2" i="8"/>
  <c r="E8" i="6"/>
  <c r="D8" i="6"/>
  <c r="E8" i="5"/>
  <c r="D8" i="5"/>
  <c r="E3" i="6"/>
  <c r="D3" i="6"/>
  <c r="D3" i="5"/>
  <c r="E3" i="5"/>
  <c r="E7" i="5"/>
  <c r="E7" i="6"/>
  <c r="C7" i="6"/>
  <c r="D7" i="6" s="1"/>
  <c r="D32" i="6"/>
  <c r="D26" i="6"/>
  <c r="D22" i="6"/>
  <c r="D21" i="6"/>
  <c r="D20" i="6"/>
  <c r="D18" i="6"/>
  <c r="D17" i="6"/>
  <c r="D16" i="6"/>
  <c r="D14" i="6"/>
  <c r="D13" i="6"/>
  <c r="D12" i="6"/>
  <c r="D10" i="6"/>
  <c r="D9" i="6"/>
  <c r="D6" i="6"/>
  <c r="D5" i="6"/>
  <c r="D2" i="6"/>
  <c r="D21" i="5"/>
  <c r="D20" i="5"/>
  <c r="D17" i="5"/>
  <c r="D16" i="5"/>
  <c r="D13" i="5"/>
  <c r="D12" i="5"/>
  <c r="D2" i="5"/>
  <c r="D5" i="5"/>
  <c r="D7" i="5"/>
  <c r="D9" i="5"/>
  <c r="D10" i="5"/>
  <c r="D6" i="5"/>
  <c r="C7" i="5"/>
  <c r="N27" i="4"/>
  <c r="M27" i="4"/>
  <c r="F27" i="4"/>
  <c r="M19" i="4"/>
  <c r="N19" i="4" s="1"/>
  <c r="N5" i="4"/>
  <c r="N7" i="4"/>
  <c r="N9" i="4"/>
  <c r="N13" i="4"/>
  <c r="H22" i="9" l="1"/>
  <c r="E18" i="9"/>
  <c r="H18" i="9"/>
  <c r="D28" i="9"/>
  <c r="H14" i="9"/>
  <c r="E28" i="9" s="1"/>
  <c r="D7" i="9"/>
  <c r="E22" i="8"/>
  <c r="H18" i="8"/>
  <c r="D28" i="8"/>
  <c r="E18" i="8"/>
  <c r="E28" i="8"/>
  <c r="D7" i="8"/>
  <c r="H25" i="5"/>
  <c r="G25" i="5"/>
  <c r="G22" i="5"/>
  <c r="G18" i="5"/>
  <c r="G14" i="5"/>
  <c r="H25" i="6"/>
  <c r="H22" i="6"/>
  <c r="H14" i="6"/>
  <c r="E13" i="6"/>
  <c r="G25" i="6"/>
  <c r="G22" i="6"/>
  <c r="G18" i="6"/>
  <c r="D28" i="6" s="1"/>
  <c r="G14" i="6"/>
  <c r="E32" i="6"/>
  <c r="E26" i="6"/>
  <c r="E21" i="6"/>
  <c r="E20" i="6"/>
  <c r="E22" i="6" s="1"/>
  <c r="E17" i="6"/>
  <c r="H18" i="6" s="1"/>
  <c r="E28" i="6" s="1"/>
  <c r="E16" i="6"/>
  <c r="E12" i="6"/>
  <c r="E14" i="6" s="1"/>
  <c r="C10" i="6"/>
  <c r="E9" i="6"/>
  <c r="E6" i="6"/>
  <c r="E5" i="6"/>
  <c r="E2" i="6"/>
  <c r="E32" i="5"/>
  <c r="D32" i="5"/>
  <c r="E26" i="5"/>
  <c r="D26" i="5"/>
  <c r="E21" i="5"/>
  <c r="D22" i="5"/>
  <c r="D18" i="5"/>
  <c r="D14" i="5"/>
  <c r="E20" i="5"/>
  <c r="E16" i="5"/>
  <c r="E13" i="5"/>
  <c r="E12" i="5"/>
  <c r="H14" i="5" s="1"/>
  <c r="E9" i="5"/>
  <c r="C10" i="5"/>
  <c r="E17" i="5"/>
  <c r="E6" i="5"/>
  <c r="E5" i="5"/>
  <c r="E2" i="5"/>
  <c r="E5" i="4"/>
  <c r="E19" i="4" s="1"/>
  <c r="F19" i="4" s="1"/>
  <c r="J5" i="4"/>
  <c r="L5" i="4"/>
  <c r="O5" i="4"/>
  <c r="F7" i="4"/>
  <c r="J7" i="4"/>
  <c r="L7" i="4"/>
  <c r="O7" i="4"/>
  <c r="F9" i="4"/>
  <c r="J9" i="4"/>
  <c r="K9" i="4"/>
  <c r="O9" i="4"/>
  <c r="E11" i="4"/>
  <c r="J11" i="4" s="1"/>
  <c r="E13" i="4"/>
  <c r="J13" i="4" s="1"/>
  <c r="K13" i="4"/>
  <c r="O13" i="4"/>
  <c r="E15" i="4"/>
  <c r="E17" i="4"/>
  <c r="K19" i="4"/>
  <c r="O19" i="4"/>
  <c r="O27" i="4" s="1"/>
  <c r="E18" i="6" l="1"/>
  <c r="D28" i="5"/>
  <c r="E18" i="5"/>
  <c r="E22" i="5"/>
  <c r="E27" i="4"/>
  <c r="H18" i="5"/>
  <c r="E10" i="5"/>
  <c r="H22" i="5"/>
  <c r="E10" i="6"/>
  <c r="E14" i="5"/>
  <c r="K16" i="2"/>
  <c r="E28" i="5" l="1"/>
  <c r="F19" i="2"/>
  <c r="H18" i="2"/>
  <c r="I18" i="2"/>
  <c r="J18" i="2"/>
  <c r="K18" i="2"/>
  <c r="L18" i="2"/>
  <c r="M18" i="2"/>
  <c r="N18" i="2"/>
  <c r="O18" i="2"/>
  <c r="P18" i="2"/>
  <c r="Q18" i="2"/>
  <c r="R18" i="2"/>
  <c r="H19" i="2"/>
  <c r="I19" i="2"/>
  <c r="J19" i="2"/>
  <c r="K19" i="2"/>
  <c r="L19" i="2"/>
  <c r="M19" i="2"/>
  <c r="N19" i="2"/>
  <c r="O19" i="2"/>
  <c r="P19" i="2"/>
  <c r="Q19" i="2"/>
  <c r="H20" i="2"/>
  <c r="I20" i="2"/>
  <c r="J20" i="2"/>
  <c r="K20" i="2"/>
  <c r="L20" i="2"/>
  <c r="M20" i="2"/>
  <c r="N20" i="2"/>
  <c r="O20" i="2"/>
  <c r="P20" i="2"/>
  <c r="Q20" i="2"/>
  <c r="H21" i="2"/>
  <c r="I21" i="2"/>
  <c r="J21" i="2"/>
  <c r="K21" i="2"/>
  <c r="L21" i="2"/>
  <c r="M21" i="2"/>
  <c r="N21" i="2"/>
  <c r="O21" i="2"/>
  <c r="P21" i="2"/>
  <c r="Q21" i="2"/>
  <c r="H22" i="2"/>
  <c r="I22" i="2"/>
  <c r="J22" i="2"/>
  <c r="K22" i="2"/>
  <c r="L22" i="2"/>
  <c r="M22" i="2"/>
  <c r="N22" i="2"/>
  <c r="O22" i="2"/>
  <c r="P22" i="2"/>
  <c r="H23" i="2"/>
  <c r="I23" i="2"/>
  <c r="J23" i="2"/>
  <c r="K23" i="2"/>
  <c r="L23" i="2"/>
  <c r="M23" i="2"/>
  <c r="N23" i="2"/>
  <c r="O23" i="2"/>
  <c r="P23" i="2"/>
  <c r="I24" i="2"/>
  <c r="J24" i="2"/>
  <c r="K24" i="2"/>
  <c r="L24" i="2"/>
  <c r="M24" i="2"/>
  <c r="N24" i="2"/>
  <c r="O24" i="2"/>
  <c r="G21" i="2"/>
  <c r="G18" i="2"/>
  <c r="G19" i="2"/>
  <c r="G20" i="2"/>
  <c r="E19" i="2"/>
  <c r="E20" i="2"/>
  <c r="E21" i="2"/>
  <c r="E22" i="2"/>
  <c r="E23" i="2"/>
  <c r="E24" i="2"/>
  <c r="E25" i="2"/>
  <c r="E26" i="2"/>
  <c r="E27" i="2"/>
  <c r="E28" i="2"/>
  <c r="E18" i="2"/>
  <c r="D28" i="2"/>
  <c r="B19" i="2"/>
  <c r="B20" i="2"/>
  <c r="B21" i="2"/>
  <c r="B22" i="2"/>
  <c r="B23" i="2"/>
  <c r="B24" i="2"/>
  <c r="B25" i="2"/>
  <c r="B26" i="2"/>
  <c r="B27" i="2"/>
  <c r="B28" i="2"/>
  <c r="B18" i="2"/>
  <c r="G12" i="2"/>
  <c r="H12" i="2"/>
  <c r="F12" i="2"/>
  <c r="D18" i="1" l="1"/>
  <c r="D18" i="2" s="1"/>
  <c r="D19" i="1"/>
  <c r="D19" i="2" s="1"/>
  <c r="D20" i="1"/>
  <c r="D20" i="2" s="1"/>
  <c r="D21" i="1"/>
  <c r="D21" i="2" s="1"/>
  <c r="D22" i="1"/>
  <c r="D22" i="2" s="1"/>
  <c r="D23" i="1"/>
  <c r="D23" i="2" s="1"/>
  <c r="D24" i="1"/>
  <c r="D24" i="2" s="1"/>
  <c r="D25" i="1"/>
  <c r="D25" i="2" s="1"/>
  <c r="D26" i="1"/>
  <c r="D26" i="2" s="1"/>
  <c r="D27" i="1"/>
  <c r="D27" i="2" s="1"/>
  <c r="C18" i="1"/>
  <c r="C18" i="2" s="1"/>
  <c r="C19" i="1"/>
  <c r="C19" i="2" s="1"/>
  <c r="C20" i="1"/>
  <c r="C20" i="2" s="1"/>
  <c r="C21" i="1"/>
  <c r="C21" i="2" s="1"/>
  <c r="C22" i="1"/>
  <c r="C22" i="2" s="1"/>
  <c r="C23" i="1"/>
  <c r="C23" i="2" s="1"/>
  <c r="C24" i="1"/>
  <c r="C24" i="2" s="1"/>
  <c r="C25" i="1"/>
  <c r="C25" i="2" s="1"/>
  <c r="C26" i="1"/>
  <c r="C26" i="2" s="1"/>
  <c r="C27" i="1"/>
  <c r="C27" i="2" s="1"/>
  <c r="C28" i="1"/>
  <c r="C28" i="2" s="1"/>
  <c r="F11" i="1"/>
  <c r="F11" i="2" s="1"/>
  <c r="G11" i="1"/>
  <c r="G11" i="2" s="1"/>
  <c r="H11" i="1"/>
  <c r="H11" i="2" s="1"/>
  <c r="J12" i="1"/>
  <c r="K12" i="1"/>
  <c r="L12" i="1"/>
  <c r="M12" i="1"/>
  <c r="N12" i="1"/>
  <c r="O12" i="1"/>
  <c r="P12" i="1"/>
  <c r="Q12" i="1"/>
  <c r="I12" i="1"/>
  <c r="P11" i="1" l="1"/>
  <c r="P11" i="2" s="1"/>
  <c r="P12" i="2"/>
  <c r="N11" i="1"/>
  <c r="N11" i="2" s="1"/>
  <c r="N12" i="2"/>
  <c r="Q11" i="1"/>
  <c r="Q11" i="2" s="1"/>
  <c r="Q12" i="2"/>
  <c r="M11" i="1"/>
  <c r="M11" i="2" s="1"/>
  <c r="M12" i="2"/>
  <c r="L11" i="1"/>
  <c r="L11" i="2" s="1"/>
  <c r="L12" i="2"/>
  <c r="O11" i="1"/>
  <c r="O11" i="2" s="1"/>
  <c r="O12" i="2"/>
  <c r="K11" i="1"/>
  <c r="K11" i="2" s="1"/>
  <c r="K12" i="2"/>
  <c r="I11" i="1"/>
  <c r="I11" i="2" s="1"/>
  <c r="I12" i="2"/>
  <c r="J11" i="1"/>
  <c r="J11" i="2" s="1"/>
  <c r="J12" i="2"/>
  <c r="R12" i="1"/>
  <c r="R12" i="2" s="1"/>
  <c r="R11" i="1" l="1"/>
  <c r="R11" i="2" s="1"/>
  <c r="R4" i="1"/>
  <c r="R3" i="1" l="1"/>
  <c r="R3" i="2" s="1"/>
  <c r="F6" i="1"/>
  <c r="R4" i="2"/>
  <c r="Q4" i="1"/>
  <c r="Q4" i="2" l="1"/>
  <c r="P4" i="1"/>
  <c r="Q3" i="1"/>
  <c r="Q3" i="2" s="1"/>
  <c r="P6" i="1"/>
  <c r="R6" i="1"/>
  <c r="F5" i="1"/>
  <c r="F5" i="2" s="1"/>
  <c r="F6" i="2"/>
  <c r="Q6" i="1"/>
  <c r="Q6" i="2" l="1"/>
  <c r="Q5" i="1"/>
  <c r="Q5" i="2" s="1"/>
  <c r="P5" i="1"/>
  <c r="P5" i="2" s="1"/>
  <c r="P6" i="2"/>
  <c r="O4" i="1"/>
  <c r="P4" i="2"/>
  <c r="P3" i="1"/>
  <c r="P3" i="2" s="1"/>
  <c r="R6" i="2"/>
  <c r="R5" i="1"/>
  <c r="R5" i="2" s="1"/>
  <c r="N4" i="1" l="1"/>
  <c r="O4" i="2"/>
  <c r="O3" i="1"/>
  <c r="O3" i="2" s="1"/>
  <c r="O6" i="1"/>
  <c r="O6" i="2" l="1"/>
  <c r="O5" i="1"/>
  <c r="O5" i="2" s="1"/>
  <c r="M4" i="1"/>
  <c r="N4" i="2"/>
  <c r="N3" i="1"/>
  <c r="N3" i="2" s="1"/>
  <c r="N6" i="1"/>
  <c r="N5" i="1" l="1"/>
  <c r="N5" i="2" s="1"/>
  <c r="N6" i="2"/>
  <c r="L4" i="1"/>
  <c r="M4" i="2"/>
  <c r="M3" i="1"/>
  <c r="M3" i="2" s="1"/>
  <c r="M6" i="1"/>
  <c r="K4" i="1" l="1"/>
  <c r="L4" i="2"/>
  <c r="L3" i="1"/>
  <c r="L3" i="2" s="1"/>
  <c r="L6" i="1"/>
  <c r="M5" i="1"/>
  <c r="M5" i="2" s="1"/>
  <c r="M6" i="2"/>
  <c r="J4" i="1" l="1"/>
  <c r="K4" i="2"/>
  <c r="K3" i="1"/>
  <c r="K3" i="2" s="1"/>
  <c r="K6" i="1"/>
  <c r="L6" i="2"/>
  <c r="L5" i="1"/>
  <c r="L5" i="2" s="1"/>
  <c r="K5" i="1" l="1"/>
  <c r="K5" i="2" s="1"/>
  <c r="K6" i="2"/>
  <c r="I4" i="1"/>
  <c r="J4" i="2"/>
  <c r="J3" i="1"/>
  <c r="J3" i="2" s="1"/>
  <c r="J6" i="1"/>
  <c r="I4" i="2" l="1"/>
  <c r="H4" i="1"/>
  <c r="I3" i="1"/>
  <c r="I3" i="2" s="1"/>
  <c r="I6" i="1"/>
  <c r="J5" i="1"/>
  <c r="J5" i="2" s="1"/>
  <c r="J6" i="2"/>
  <c r="G4" i="1" l="1"/>
  <c r="H4" i="2"/>
  <c r="H3" i="1"/>
  <c r="H3" i="2" s="1"/>
  <c r="H6" i="1"/>
  <c r="I6" i="2"/>
  <c r="I5" i="1"/>
  <c r="I5" i="2" s="1"/>
  <c r="H5" i="1" l="1"/>
  <c r="H5" i="2" s="1"/>
  <c r="H6" i="2"/>
  <c r="G4" i="2"/>
  <c r="F4" i="1"/>
  <c r="G3" i="1"/>
  <c r="G3" i="2" s="1"/>
  <c r="G6" i="1"/>
  <c r="F4" i="2" l="1"/>
  <c r="F3" i="1"/>
  <c r="F3" i="2" s="1"/>
  <c r="G6" i="2"/>
  <c r="G5" i="1"/>
  <c r="G5" i="2" s="1"/>
</calcChain>
</file>

<file path=xl/sharedStrings.xml><?xml version="1.0" encoding="utf-8"?>
<sst xmlns="http://schemas.openxmlformats.org/spreadsheetml/2006/main" count="377" uniqueCount="143">
  <si>
    <t>STA 0</t>
  </si>
  <si>
    <t>STA 1</t>
  </si>
  <si>
    <t>STA 7</t>
  </si>
  <si>
    <t>STA 6</t>
  </si>
  <si>
    <t>STA 5</t>
  </si>
  <si>
    <t>STA 4</t>
  </si>
  <si>
    <t>STA 3</t>
  </si>
  <si>
    <t>STA 2</t>
  </si>
  <si>
    <t>STA 10</t>
  </si>
  <si>
    <t>STA 9</t>
  </si>
  <si>
    <t>STA 8</t>
  </si>
  <si>
    <t>STA 11</t>
  </si>
  <si>
    <t>x [decimal inches]</t>
  </si>
  <si>
    <t>STA 00</t>
  </si>
  <si>
    <t>DWL</t>
  </si>
  <si>
    <t>-5ft 6 in</t>
  </si>
  <si>
    <t>z [decimal inches]</t>
  </si>
  <si>
    <t>Corbin 39 lines - table of offsets</t>
  </si>
  <si>
    <t>FROM STERN</t>
  </si>
  <si>
    <t>FROM BOW</t>
  </si>
  <si>
    <t>datum</t>
  </si>
  <si>
    <t>FROM DATUM POINT (DWL, #10)</t>
  </si>
  <si>
    <t>mm/inch</t>
  </si>
  <si>
    <t>x [mm]</t>
  </si>
  <si>
    <t>[mm]</t>
  </si>
  <si>
    <t>z [in]</t>
  </si>
  <si>
    <t>z [mm]</t>
  </si>
  <si>
    <t>the hull Lo.a., fore overhang, aft overhang, Lwl, sheer line maximum beam Bo.a. (and the distance of this maximum beam / aft perpendicular)</t>
  </si>
  <si>
    <t>the free boards (= height of the sheer line / water) at bow end, minimum free board (and the distance of this minimum / aft perpendicular) and aft end</t>
  </si>
  <si>
    <t>as you propose : the offsets of stations at aft perpendicular, at the maximum beam Boa of the sheer line 'as much as possible) , at the fore perpendicular. For the Boa section : with the Bwl, with sufficient points to describe the tumblehome shape if any.</t>
  </si>
  <si>
    <t>the hull body maximum draft (and the distance of this maximum beam / aft perpendicular)</t>
  </si>
  <si>
    <t>the geometrical data describing the sailplan main and fore triangles (inc. the boom height / water), public brochure showing this sailplan</t>
  </si>
  <si>
    <t>public brochure top and side views at scale, showing respectively the sheer line, the hull body line, the keel and rudder line. If no hull body exact longitudinal line from such brochure, some x,z offsets of this line is welcome</t>
  </si>
  <si>
    <t>and in coherence with these geometrical data : the ship displacement (supposed to be the light ship one), the center of gravity (Xg / aft perpendicular, Zg / water line (negative value if under the water), the ballast weight (and if possible, the geometry and the material density of this ballast)</t>
  </si>
  <si>
    <t>pictures, if complementary to the ones on the class web site</t>
  </si>
  <si>
    <t>[ft in]</t>
  </si>
  <si>
    <t>[in]</t>
  </si>
  <si>
    <t>Tim Terrebone</t>
  </si>
  <si>
    <t>Silent Running</t>
  </si>
  <si>
    <t>not yet reported</t>
  </si>
  <si>
    <t>Mike Cashin</t>
  </si>
  <si>
    <t>Full Circle</t>
  </si>
  <si>
    <t>Katie Guillemette</t>
  </si>
  <si>
    <t>Necessity</t>
  </si>
  <si>
    <t>note steel keel shoe</t>
  </si>
  <si>
    <t>empty fuel, half water, liveaboard packed</t>
  </si>
  <si>
    <t>Ron Morrison</t>
  </si>
  <si>
    <t>Cosmic Debris</t>
  </si>
  <si>
    <t>end season liftout with half full diesel</t>
  </si>
  <si>
    <t>Louise Leroux</t>
  </si>
  <si>
    <t>by George</t>
  </si>
  <si>
    <t>fully loaded, 396 L fuel, no water</t>
  </si>
  <si>
    <t>Mario Lillian Borg </t>
  </si>
  <si>
    <t>Maltese Falcon</t>
  </si>
  <si>
    <t>part fuelled, part watered, liveaboard spares &amp; tools</t>
  </si>
  <si>
    <t>David Sharman</t>
  </si>
  <si>
    <t>Bockra</t>
  </si>
  <si>
    <t>believed to be lightship</t>
  </si>
  <si>
    <t>brochures</t>
  </si>
  <si>
    <t>nominal design</t>
  </si>
  <si>
    <t>mm</t>
  </si>
  <si>
    <t>ft in</t>
  </si>
  <si>
    <t>in</t>
  </si>
  <si>
    <t>kg</t>
  </si>
  <si>
    <t>lbs</t>
  </si>
  <si>
    <t>Reported draught @ reported displacement</t>
  </si>
  <si>
    <t>WL actual at hook weight (ref to datum)</t>
  </si>
  <si>
    <t>estimated displacement (lightship)</t>
  </si>
  <si>
    <t>correction applied to get to lightship</t>
  </si>
  <si>
    <t>keel ballast</t>
  </si>
  <si>
    <t>condition of hook weight</t>
  </si>
  <si>
    <t>hook weight (i.e. reported displacement)</t>
  </si>
  <si>
    <t>information source</t>
  </si>
  <si>
    <t>name</t>
  </si>
  <si>
    <t>hull #</t>
  </si>
  <si>
    <t>inch</t>
  </si>
  <si>
    <t>ft inch</t>
  </si>
  <si>
    <t>I</t>
  </si>
  <si>
    <t>Foretriangle height</t>
  </si>
  <si>
    <t>J</t>
  </si>
  <si>
    <t>Foretriangle base</t>
  </si>
  <si>
    <t>P</t>
  </si>
  <si>
    <t>Mainsail hoist</t>
  </si>
  <si>
    <t>E</t>
  </si>
  <si>
    <t>Mainsail foot</t>
  </si>
  <si>
    <t>Iy</t>
  </si>
  <si>
    <t>Inner staysail height</t>
  </si>
  <si>
    <t>Jy</t>
  </si>
  <si>
    <t>Inner staysail base</t>
  </si>
  <si>
    <t>ISP</t>
  </si>
  <si>
    <t>Spinnaker halyard elevation</t>
  </si>
  <si>
    <t>TPS/STL</t>
  </si>
  <si>
    <t>Bowsprit length</t>
  </si>
  <si>
    <t>EY</t>
  </si>
  <si>
    <t>Mizzen mainsail foot</t>
  </si>
  <si>
    <t>PY</t>
  </si>
  <si>
    <t>Mizzen mainsail hoist</t>
  </si>
  <si>
    <t>100% triangle area</t>
  </si>
  <si>
    <t>100% triangle area, theoretical</t>
  </si>
  <si>
    <t>100% triangle area, total theoretical</t>
  </si>
  <si>
    <t>long voyage typical stores, but trival fuel &amp; water</t>
  </si>
  <si>
    <t>calculated</t>
  </si>
  <si>
    <t>unknown</t>
  </si>
  <si>
    <t>reported</t>
  </si>
  <si>
    <t>constants</t>
  </si>
  <si>
    <t>inferred</t>
  </si>
  <si>
    <t>Comments</t>
  </si>
  <si>
    <t>KEY:</t>
  </si>
  <si>
    <t>stern vertical to mast centre (x)</t>
  </si>
  <si>
    <t>DWL to mast foot (z)</t>
  </si>
  <si>
    <t>DWL to bow (z)</t>
  </si>
  <si>
    <t>mast height from mast foot (z)</t>
  </si>
  <si>
    <t>mast height above DWL (z)</t>
  </si>
  <si>
    <t>DWL to boom (z)</t>
  </si>
  <si>
    <t>mk2 ketch</t>
  </si>
  <si>
    <t>stern vertical to bow (x)</t>
  </si>
  <si>
    <t>stern vertical to bowsprit (x)</t>
  </si>
  <si>
    <t>-</t>
  </si>
  <si>
    <t>foretriangle, 100% area</t>
  </si>
  <si>
    <t>mainsail, 100% triangle area</t>
  </si>
  <si>
    <t>staysail, 100% triangle area</t>
  </si>
  <si>
    <t>mizzen mainsail, 100% triangle area</t>
  </si>
  <si>
    <t>total sail, 100% triangle area</t>
  </si>
  <si>
    <t>boom length (x)</t>
  </si>
  <si>
    <t>mizzen mast height from mast foot</t>
  </si>
  <si>
    <t>mizzen mast boom height above DWL</t>
  </si>
  <si>
    <t>mk1 cutter 51' tallmast</t>
  </si>
  <si>
    <t>mk1 cutter 46' shortmast</t>
  </si>
  <si>
    <t>mk1 ketch 46' mast</t>
  </si>
  <si>
    <t>mk2 cutter 49' tallmast</t>
  </si>
  <si>
    <t>no drawing located yet</t>
  </si>
  <si>
    <t>n/a</t>
  </si>
  <si>
    <t>TYPICAL based on owner info</t>
  </si>
  <si>
    <t>MEASURED OFF PLANS by Dufour</t>
  </si>
  <si>
    <r>
      <t xml:space="preserve">MEASURED OFF PLANS by Marius Corbin </t>
    </r>
    <r>
      <rPr>
        <b/>
        <i/>
        <sz val="11"/>
        <color theme="1"/>
        <rFont val="Calibri"/>
        <family val="2"/>
        <scheme val="minor"/>
      </rPr>
      <t>with known drawing errors corrected</t>
    </r>
  </si>
  <si>
    <t>inches between mast locations</t>
  </si>
  <si>
    <t>inches of bowsprit</t>
  </si>
  <si>
    <t>typically as per mk1, set onto new forestay</t>
  </si>
  <si>
    <t xml:space="preserve">typically as per mk1 </t>
  </si>
  <si>
    <t>(believe none modified)</t>
  </si>
  <si>
    <t>(believe none built)</t>
  </si>
  <si>
    <t>mk1 cutter 46' shortmast c/w typical bowsprit modification</t>
  </si>
  <si>
    <t>mk1 cutter 51' tallmast c/w typical bowsprit modification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</si>
</sst>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8" x14ac:knownFonts="1">
    <font>
      <sz val="11"/>
      <color theme="1"/>
      <name val="Calibri"/>
      <family val="2"/>
      <scheme val="minor"/>
    </font>
    <font>
      <sz val="11"/>
      <color rgb="FFFF0000"/>
      <name val="Calibri"/>
      <family val="2"/>
      <scheme val="minor"/>
    </font>
    <font>
      <b/>
      <sz val="11"/>
      <color theme="1"/>
      <name val="Calibri"/>
      <family val="2"/>
      <scheme val="minor"/>
    </font>
    <font>
      <sz val="8"/>
      <name val="Calibri"/>
      <family val="2"/>
      <scheme val="minor"/>
    </font>
    <font>
      <i/>
      <sz val="11"/>
      <color theme="1"/>
      <name val="Calibri"/>
      <family val="2"/>
      <scheme val="minor"/>
    </font>
    <font>
      <sz val="11"/>
      <color theme="1"/>
      <name val="Calibri"/>
      <family val="2"/>
      <scheme val="minor"/>
    </font>
    <font>
      <b/>
      <sz val="11"/>
      <color theme="0"/>
      <name val="Calibri"/>
      <family val="2"/>
      <scheme val="minor"/>
    </font>
    <font>
      <b/>
      <i/>
      <sz val="11"/>
      <color theme="1"/>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0.49998474074526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121">
    <xf numFmtId="0" fontId="0" fillId="0" borderId="0" xfId="0"/>
    <xf numFmtId="0" fontId="4" fillId="0" borderId="0" xfId="0" applyFont="1"/>
    <xf numFmtId="0" fontId="2" fillId="0" borderId="0" xfId="0" applyFont="1"/>
    <xf numFmtId="0" fontId="0" fillId="0" borderId="0" xfId="0" applyAlignment="1">
      <alignment horizontal="center"/>
    </xf>
    <xf numFmtId="0" fontId="0" fillId="0" borderId="0" xfId="0" quotePrefix="1" applyAlignment="1">
      <alignment horizontal="center"/>
    </xf>
    <xf numFmtId="0" fontId="4" fillId="0" borderId="0" xfId="0" applyFont="1" applyFill="1"/>
    <xf numFmtId="0" fontId="4" fillId="3" borderId="0" xfId="0" applyFont="1" applyFill="1" applyAlignment="1">
      <alignment horizontal="right"/>
    </xf>
    <xf numFmtId="0" fontId="0" fillId="3" borderId="0" xfId="0" applyFill="1"/>
    <xf numFmtId="0" fontId="0" fillId="3" borderId="2" xfId="0" quotePrefix="1" applyFill="1" applyBorder="1" applyAlignment="1">
      <alignment horizontal="center"/>
    </xf>
    <xf numFmtId="0" fontId="0" fillId="3" borderId="3" xfId="0" applyFill="1" applyBorder="1"/>
    <xf numFmtId="0" fontId="0" fillId="3" borderId="4" xfId="0" quotePrefix="1" applyFill="1" applyBorder="1" applyAlignment="1">
      <alignment horizontal="center"/>
    </xf>
    <xf numFmtId="0" fontId="0" fillId="3" borderId="5" xfId="0" applyFill="1" applyBorder="1"/>
    <xf numFmtId="0" fontId="1" fillId="3" borderId="6" xfId="0" quotePrefix="1" applyFont="1" applyFill="1" applyBorder="1" applyAlignment="1">
      <alignment horizontal="center"/>
    </xf>
    <xf numFmtId="0" fontId="0" fillId="3" borderId="7" xfId="0" applyFill="1" applyBorder="1"/>
    <xf numFmtId="0" fontId="2" fillId="0" borderId="8" xfId="0" applyFont="1" applyBorder="1"/>
    <xf numFmtId="0" fontId="0" fillId="0" borderId="9" xfId="0" applyBorder="1"/>
    <xf numFmtId="0" fontId="0" fillId="0" borderId="10" xfId="0" applyBorder="1"/>
    <xf numFmtId="0" fontId="2" fillId="0" borderId="11" xfId="0" applyFont="1" applyBorder="1"/>
    <xf numFmtId="0" fontId="0" fillId="0" borderId="12" xfId="0" applyBorder="1" applyAlignment="1">
      <alignment horizontal="center"/>
    </xf>
    <xf numFmtId="0" fontId="0" fillId="0" borderId="12" xfId="0" quotePrefix="1" applyBorder="1" applyAlignment="1">
      <alignment horizontal="center"/>
    </xf>
    <xf numFmtId="0" fontId="0" fillId="3" borderId="11" xfId="0" quotePrefix="1" applyFill="1" applyBorder="1" applyAlignment="1">
      <alignment horizontal="center"/>
    </xf>
    <xf numFmtId="0" fontId="0" fillId="3" borderId="13" xfId="0" applyFill="1" applyBorder="1"/>
    <xf numFmtId="0" fontId="0" fillId="0" borderId="12" xfId="0" applyBorder="1"/>
    <xf numFmtId="0" fontId="0" fillId="0" borderId="1" xfId="0" applyBorder="1"/>
    <xf numFmtId="0" fontId="0" fillId="0" borderId="13" xfId="0" applyBorder="1"/>
    <xf numFmtId="0" fontId="4" fillId="2" borderId="2" xfId="0" applyFont="1" applyFill="1" applyBorder="1"/>
    <xf numFmtId="0" fontId="0" fillId="2" borderId="14" xfId="0" applyFill="1" applyBorder="1" applyAlignment="1">
      <alignment horizontal="center"/>
    </xf>
    <xf numFmtId="0" fontId="0" fillId="2" borderId="14" xfId="0" quotePrefix="1" applyFill="1" applyBorder="1" applyAlignment="1">
      <alignment horizontal="center"/>
    </xf>
    <xf numFmtId="0" fontId="0" fillId="2" borderId="8" xfId="0" quotePrefix="1" applyFill="1" applyBorder="1" applyAlignment="1">
      <alignment horizontal="center"/>
    </xf>
    <xf numFmtId="0" fontId="0" fillId="2" borderId="3" xfId="0" quotePrefix="1" applyFill="1" applyBorder="1" applyAlignment="1">
      <alignment horizontal="center"/>
    </xf>
    <xf numFmtId="0" fontId="0" fillId="2" borderId="6" xfId="0" applyFill="1" applyBorder="1"/>
    <xf numFmtId="0" fontId="4" fillId="2" borderId="15" xfId="0" applyFont="1" applyFill="1" applyBorder="1"/>
    <xf numFmtId="0" fontId="0" fillId="2" borderId="15" xfId="0" applyFill="1" applyBorder="1"/>
    <xf numFmtId="0" fontId="0" fillId="2" borderId="10" xfId="0" applyFill="1" applyBorder="1"/>
    <xf numFmtId="0" fontId="0" fillId="2" borderId="7" xfId="0" applyFill="1" applyBorder="1"/>
    <xf numFmtId="0" fontId="0" fillId="0" borderId="0" xfId="0" applyFill="1" applyBorder="1"/>
    <xf numFmtId="0" fontId="2" fillId="0" borderId="2" xfId="0" applyFont="1" applyBorder="1"/>
    <xf numFmtId="0" fontId="0" fillId="0" borderId="14" xfId="0" applyBorder="1"/>
    <xf numFmtId="0" fontId="0" fillId="0" borderId="14" xfId="0" quotePrefix="1" applyBorder="1" applyAlignment="1">
      <alignment horizontal="center"/>
    </xf>
    <xf numFmtId="0" fontId="0" fillId="0" borderId="3" xfId="0" quotePrefix="1" applyBorder="1" applyAlignment="1">
      <alignment horizontal="center"/>
    </xf>
    <xf numFmtId="0" fontId="0" fillId="0" borderId="6" xfId="0" applyBorder="1"/>
    <xf numFmtId="0" fontId="2" fillId="0" borderId="15" xfId="0" applyFont="1" applyBorder="1"/>
    <xf numFmtId="0" fontId="0" fillId="0" borderId="15" xfId="0" applyBorder="1"/>
    <xf numFmtId="0" fontId="0" fillId="0" borderId="7" xfId="0" applyBorder="1"/>
    <xf numFmtId="0" fontId="2" fillId="0" borderId="14" xfId="0" applyFont="1" applyBorder="1"/>
    <xf numFmtId="0" fontId="0" fillId="4" borderId="0" xfId="0" applyFill="1"/>
    <xf numFmtId="43" fontId="0" fillId="0" borderId="15" xfId="1" applyFont="1" applyBorder="1"/>
    <xf numFmtId="43" fontId="0" fillId="2" borderId="15" xfId="1" applyFont="1" applyFill="1" applyBorder="1"/>
    <xf numFmtId="43" fontId="0" fillId="0" borderId="0" xfId="1" applyFont="1" applyBorder="1"/>
    <xf numFmtId="0" fontId="0" fillId="3" borderId="0" xfId="0" quotePrefix="1" applyFill="1" applyBorder="1" applyAlignment="1">
      <alignment horizontal="center"/>
    </xf>
    <xf numFmtId="43" fontId="0" fillId="3" borderId="0" xfId="1" applyFont="1" applyFill="1" applyBorder="1"/>
    <xf numFmtId="43" fontId="0" fillId="0" borderId="12" xfId="1" applyFont="1" applyBorder="1"/>
    <xf numFmtId="0" fontId="0" fillId="3" borderId="12" xfId="0" quotePrefix="1" applyFill="1" applyBorder="1" applyAlignment="1">
      <alignment horizontal="center"/>
    </xf>
    <xf numFmtId="43" fontId="0" fillId="3" borderId="12" xfId="1" applyFont="1" applyFill="1" applyBorder="1"/>
    <xf numFmtId="43" fontId="0" fillId="2" borderId="10" xfId="1" applyFont="1" applyFill="1" applyBorder="1"/>
    <xf numFmtId="43" fontId="0" fillId="0" borderId="9" xfId="1" applyFont="1" applyBorder="1"/>
    <xf numFmtId="43" fontId="0" fillId="0" borderId="1" xfId="1" applyFont="1" applyBorder="1"/>
    <xf numFmtId="0" fontId="0" fillId="0" borderId="0" xfId="0" applyAlignment="1">
      <alignment horizontal="left" vertical="center" indent="1"/>
    </xf>
    <xf numFmtId="0" fontId="4" fillId="2" borderId="6" xfId="0" applyFont="1" applyFill="1" applyBorder="1"/>
    <xf numFmtId="0" fontId="4" fillId="0" borderId="16" xfId="0" applyFont="1" applyBorder="1" applyAlignment="1">
      <alignment horizontal="center"/>
    </xf>
    <xf numFmtId="0" fontId="4" fillId="3" borderId="16" xfId="0" applyFont="1" applyFill="1" applyBorder="1" applyAlignment="1">
      <alignment horizontal="center"/>
    </xf>
    <xf numFmtId="43" fontId="0" fillId="0" borderId="0" xfId="0" applyNumberFormat="1"/>
    <xf numFmtId="164" fontId="0" fillId="0" borderId="0" xfId="1" applyNumberFormat="1" applyFont="1"/>
    <xf numFmtId="164" fontId="0" fillId="0" borderId="17" xfId="1" applyNumberFormat="1" applyFont="1" applyBorder="1"/>
    <xf numFmtId="0" fontId="0" fillId="0" borderId="17" xfId="0" applyBorder="1"/>
    <xf numFmtId="0" fontId="0" fillId="0" borderId="17" xfId="0" applyBorder="1" applyAlignment="1">
      <alignment horizontal="center"/>
    </xf>
    <xf numFmtId="0" fontId="1" fillId="0" borderId="0" xfId="0" applyFont="1"/>
    <xf numFmtId="0" fontId="0" fillId="5" borderId="0" xfId="0" applyFill="1"/>
    <xf numFmtId="1" fontId="0" fillId="6" borderId="0" xfId="0" applyNumberFormat="1" applyFill="1"/>
    <xf numFmtId="164" fontId="0" fillId="0" borderId="0" xfId="0" applyNumberFormat="1"/>
    <xf numFmtId="0" fontId="0" fillId="7" borderId="0" xfId="0" applyFill="1"/>
    <xf numFmtId="164" fontId="0" fillId="6" borderId="0" xfId="1" applyNumberFormat="1" applyFont="1" applyFill="1"/>
    <xf numFmtId="1" fontId="0" fillId="0" borderId="0" xfId="0" applyNumberFormat="1"/>
    <xf numFmtId="0" fontId="0" fillId="0" borderId="0" xfId="0" applyAlignment="1">
      <alignment wrapText="1"/>
    </xf>
    <xf numFmtId="0" fontId="0" fillId="0" borderId="15" xfId="0" applyBorder="1" applyAlignment="1">
      <alignment horizontal="center"/>
    </xf>
    <xf numFmtId="0" fontId="0" fillId="2" borderId="0" xfId="0" applyFill="1"/>
    <xf numFmtId="0" fontId="2" fillId="0" borderId="16" xfId="0" applyFont="1" applyBorder="1"/>
    <xf numFmtId="0" fontId="0" fillId="0" borderId="0" xfId="0" applyAlignment="1">
      <alignment vertical="center"/>
    </xf>
    <xf numFmtId="0" fontId="0" fillId="0" borderId="0" xfId="0" applyAlignment="1">
      <alignment horizontal="left" indent="1"/>
    </xf>
    <xf numFmtId="165" fontId="0" fillId="0" borderId="0" xfId="1" applyNumberFormat="1" applyFont="1" applyAlignment="1">
      <alignment horizontal="left" indent="2"/>
    </xf>
    <xf numFmtId="0" fontId="0" fillId="8" borderId="0" xfId="0" applyFill="1" applyAlignment="1">
      <alignment horizontal="left" indent="1"/>
    </xf>
    <xf numFmtId="164" fontId="0" fillId="8" borderId="0" xfId="1" applyNumberFormat="1" applyFont="1" applyFill="1" applyAlignment="1">
      <alignment horizontal="left" indent="2"/>
    </xf>
    <xf numFmtId="0" fontId="0" fillId="8" borderId="0" xfId="0" applyFill="1" applyAlignment="1">
      <alignment horizontal="left" indent="2"/>
    </xf>
    <xf numFmtId="0" fontId="0" fillId="8" borderId="0" xfId="0" applyFill="1" applyAlignment="1">
      <alignment horizontal="center"/>
    </xf>
    <xf numFmtId="165" fontId="0" fillId="0" borderId="0" xfId="1" applyNumberFormat="1" applyFont="1" applyAlignment="1">
      <alignment horizontal="center"/>
    </xf>
    <xf numFmtId="0" fontId="2" fillId="0" borderId="16" xfId="0" applyFont="1" applyBorder="1" applyAlignment="1">
      <alignment horizontal="center"/>
    </xf>
    <xf numFmtId="0" fontId="0" fillId="0" borderId="18" xfId="0" applyBorder="1" applyAlignment="1">
      <alignment vertical="center"/>
    </xf>
    <xf numFmtId="164" fontId="0" fillId="8" borderId="18" xfId="1" applyNumberFormat="1" applyFont="1" applyFill="1" applyBorder="1" applyAlignment="1">
      <alignment horizontal="center"/>
    </xf>
    <xf numFmtId="164" fontId="0" fillId="8" borderId="18" xfId="1" applyNumberFormat="1" applyFont="1" applyFill="1" applyBorder="1" applyAlignment="1">
      <alignment horizontal="right"/>
    </xf>
    <xf numFmtId="0" fontId="4" fillId="0" borderId="18" xfId="0" applyFont="1" applyBorder="1" applyAlignment="1">
      <alignment horizontal="left" indent="1"/>
    </xf>
    <xf numFmtId="0" fontId="4" fillId="0" borderId="0" xfId="0" applyFont="1" applyBorder="1" applyAlignment="1">
      <alignment horizontal="left" indent="1"/>
    </xf>
    <xf numFmtId="165" fontId="0" fillId="8" borderId="18" xfId="1" applyNumberFormat="1" applyFont="1" applyFill="1" applyBorder="1" applyAlignment="1">
      <alignment horizontal="right"/>
    </xf>
    <xf numFmtId="0" fontId="0" fillId="8" borderId="1" xfId="0" applyFill="1" applyBorder="1"/>
    <xf numFmtId="0" fontId="0" fillId="7" borderId="1" xfId="0" applyFill="1" applyBorder="1"/>
    <xf numFmtId="0" fontId="0" fillId="2" borderId="1" xfId="0" applyFill="1" applyBorder="1"/>
    <xf numFmtId="0" fontId="0" fillId="9" borderId="1" xfId="0" applyFill="1" applyBorder="1"/>
    <xf numFmtId="164" fontId="0" fillId="9" borderId="0" xfId="1" applyNumberFormat="1" applyFont="1" applyFill="1"/>
    <xf numFmtId="0" fontId="0" fillId="9" borderId="0" xfId="0" applyFill="1"/>
    <xf numFmtId="164" fontId="0" fillId="9" borderId="0" xfId="0" applyNumberFormat="1" applyFill="1"/>
    <xf numFmtId="0" fontId="0" fillId="6" borderId="0" xfId="0" quotePrefix="1" applyFill="1" applyAlignment="1">
      <alignment horizontal="center"/>
    </xf>
    <xf numFmtId="0" fontId="2" fillId="0" borderId="0" xfId="0" applyFont="1" applyAlignment="1">
      <alignment horizontal="center"/>
    </xf>
    <xf numFmtId="0" fontId="0" fillId="6" borderId="19" xfId="0" quotePrefix="1" applyFill="1" applyBorder="1" applyAlignment="1">
      <alignment horizontal="center"/>
    </xf>
    <xf numFmtId="165" fontId="0" fillId="0" borderId="0" xfId="1" applyNumberFormat="1" applyFont="1" applyAlignment="1">
      <alignment horizontal="right"/>
    </xf>
    <xf numFmtId="0" fontId="0" fillId="8" borderId="0" xfId="0" applyFill="1" applyAlignment="1">
      <alignment horizontal="right"/>
    </xf>
    <xf numFmtId="164" fontId="0" fillId="8" borderId="0" xfId="1" applyNumberFormat="1" applyFont="1" applyFill="1" applyAlignment="1">
      <alignment horizontal="right"/>
    </xf>
    <xf numFmtId="0" fontId="2" fillId="0" borderId="16" xfId="0" applyFont="1" applyBorder="1" applyAlignment="1">
      <alignment horizontal="center" vertical="center"/>
    </xf>
    <xf numFmtId="0" fontId="2" fillId="0" borderId="0" xfId="0" applyFont="1" applyAlignment="1">
      <alignment horizontal="center" vertical="center" wrapText="1"/>
    </xf>
    <xf numFmtId="0" fontId="0" fillId="0" borderId="19" xfId="0" applyBorder="1" applyAlignment="1">
      <alignment horizontal="left" indent="1"/>
    </xf>
    <xf numFmtId="0" fontId="0" fillId="0" borderId="19" xfId="0" applyBorder="1"/>
    <xf numFmtId="0" fontId="0" fillId="8" borderId="19" xfId="0" applyFill="1" applyBorder="1" applyAlignment="1">
      <alignment horizontal="right"/>
    </xf>
    <xf numFmtId="165" fontId="0" fillId="8" borderId="0" xfId="1" applyNumberFormat="1" applyFont="1" applyFill="1" applyAlignment="1">
      <alignment horizontal="left" indent="2"/>
    </xf>
    <xf numFmtId="165" fontId="0" fillId="8" borderId="0" xfId="1" applyNumberFormat="1" applyFont="1" applyFill="1" applyAlignment="1">
      <alignment horizontal="right"/>
    </xf>
    <xf numFmtId="165" fontId="0" fillId="0" borderId="0" xfId="1" applyNumberFormat="1" applyFont="1" applyFill="1" applyAlignment="1">
      <alignment horizontal="left" indent="2"/>
    </xf>
    <xf numFmtId="165" fontId="0" fillId="0" borderId="0" xfId="1" applyNumberFormat="1" applyFont="1" applyFill="1" applyAlignment="1">
      <alignment horizontal="right"/>
    </xf>
    <xf numFmtId="0" fontId="0" fillId="0" borderId="18" xfId="0" applyFill="1" applyBorder="1" applyAlignment="1">
      <alignment vertical="center"/>
    </xf>
    <xf numFmtId="0" fontId="0" fillId="0" borderId="0" xfId="0" applyFill="1"/>
    <xf numFmtId="0" fontId="0" fillId="0" borderId="0" xfId="0" applyFill="1" applyAlignment="1">
      <alignment vertical="center"/>
    </xf>
    <xf numFmtId="165" fontId="0" fillId="0" borderId="0" xfId="0" applyNumberFormat="1"/>
    <xf numFmtId="165" fontId="0" fillId="10" borderId="0" xfId="0" applyNumberFormat="1" applyFill="1"/>
    <xf numFmtId="0" fontId="0" fillId="10" borderId="0" xfId="0" applyFill="1"/>
    <xf numFmtId="0" fontId="6" fillId="10"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7"/>
          <c:order val="0"/>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imperial!$L$18:$L$28</c:f>
              <c:numCache>
                <c:formatCode>General</c:formatCode>
                <c:ptCount val="11"/>
                <c:pt idx="0">
                  <c:v>72</c:v>
                </c:pt>
                <c:pt idx="1">
                  <c:v>72</c:v>
                </c:pt>
                <c:pt idx="2">
                  <c:v>71</c:v>
                </c:pt>
                <c:pt idx="3">
                  <c:v>69</c:v>
                </c:pt>
                <c:pt idx="4">
                  <c:v>64.5</c:v>
                </c:pt>
                <c:pt idx="5">
                  <c:v>54</c:v>
                </c:pt>
                <c:pt idx="6">
                  <c:v>28</c:v>
                </c:pt>
              </c:numCache>
            </c:numRef>
          </c:yVal>
          <c:smooth val="1"/>
          <c:extLst>
            <c:ext xmlns:c16="http://schemas.microsoft.com/office/drawing/2014/chart" uri="{C3380CC4-5D6E-409C-BE32-E72D297353CC}">
              <c16:uniqueId val="{00000015-A7D9-4D6D-B535-0425262688E7}"/>
            </c:ext>
          </c:extLst>
        </c:ser>
        <c:ser>
          <c:idx val="8"/>
          <c:order val="1"/>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imperial!$M$18:$M$28</c:f>
              <c:numCache>
                <c:formatCode>General</c:formatCode>
                <c:ptCount val="11"/>
                <c:pt idx="0">
                  <c:v>69</c:v>
                </c:pt>
                <c:pt idx="1">
                  <c:v>68.5</c:v>
                </c:pt>
                <c:pt idx="2">
                  <c:v>67</c:v>
                </c:pt>
                <c:pt idx="3">
                  <c:v>65</c:v>
                </c:pt>
                <c:pt idx="4">
                  <c:v>60</c:v>
                </c:pt>
                <c:pt idx="5">
                  <c:v>48</c:v>
                </c:pt>
                <c:pt idx="6">
                  <c:v>18</c:v>
                </c:pt>
              </c:numCache>
            </c:numRef>
          </c:yVal>
          <c:smooth val="1"/>
          <c:extLst>
            <c:ext xmlns:c16="http://schemas.microsoft.com/office/drawing/2014/chart" uri="{C3380CC4-5D6E-409C-BE32-E72D297353CC}">
              <c16:uniqueId val="{00000016-A7D9-4D6D-B535-0425262688E7}"/>
            </c:ext>
          </c:extLst>
        </c:ser>
        <c:ser>
          <c:idx val="9"/>
          <c:order val="2"/>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imperial!$N$18:$N$28</c:f>
              <c:numCache>
                <c:formatCode>General</c:formatCode>
                <c:ptCount val="11"/>
                <c:pt idx="0">
                  <c:v>65</c:v>
                </c:pt>
                <c:pt idx="1">
                  <c:v>63</c:v>
                </c:pt>
                <c:pt idx="2">
                  <c:v>60</c:v>
                </c:pt>
                <c:pt idx="3">
                  <c:v>55.5</c:v>
                </c:pt>
                <c:pt idx="4">
                  <c:v>48.5</c:v>
                </c:pt>
                <c:pt idx="5">
                  <c:v>35.5</c:v>
                </c:pt>
                <c:pt idx="6">
                  <c:v>9</c:v>
                </c:pt>
              </c:numCache>
            </c:numRef>
          </c:yVal>
          <c:smooth val="1"/>
          <c:extLst>
            <c:ext xmlns:c16="http://schemas.microsoft.com/office/drawing/2014/chart" uri="{C3380CC4-5D6E-409C-BE32-E72D297353CC}">
              <c16:uniqueId val="{00000017-A7D9-4D6D-B535-0425262688E7}"/>
            </c:ext>
          </c:extLst>
        </c:ser>
        <c:ser>
          <c:idx val="10"/>
          <c:order val="3"/>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imperial!$O$18:$O$28</c:f>
              <c:numCache>
                <c:formatCode>General</c:formatCode>
                <c:ptCount val="11"/>
                <c:pt idx="0">
                  <c:v>57</c:v>
                </c:pt>
                <c:pt idx="1">
                  <c:v>54</c:v>
                </c:pt>
                <c:pt idx="2">
                  <c:v>49</c:v>
                </c:pt>
                <c:pt idx="3">
                  <c:v>43</c:v>
                </c:pt>
                <c:pt idx="4">
                  <c:v>34</c:v>
                </c:pt>
                <c:pt idx="5">
                  <c:v>21</c:v>
                </c:pt>
                <c:pt idx="6">
                  <c:v>1</c:v>
                </c:pt>
              </c:numCache>
            </c:numRef>
          </c:yVal>
          <c:smooth val="1"/>
          <c:extLst>
            <c:ext xmlns:c16="http://schemas.microsoft.com/office/drawing/2014/chart" uri="{C3380CC4-5D6E-409C-BE32-E72D297353CC}">
              <c16:uniqueId val="{00000018-A7D9-4D6D-B535-0425262688E7}"/>
            </c:ext>
          </c:extLst>
        </c:ser>
        <c:ser>
          <c:idx val="11"/>
          <c:order val="4"/>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imperial!$P$18:$P$28</c:f>
              <c:numCache>
                <c:formatCode>General</c:formatCode>
                <c:ptCount val="11"/>
                <c:pt idx="0">
                  <c:v>45</c:v>
                </c:pt>
                <c:pt idx="1">
                  <c:v>39</c:v>
                </c:pt>
                <c:pt idx="2">
                  <c:v>33</c:v>
                </c:pt>
                <c:pt idx="3">
                  <c:v>26</c:v>
                </c:pt>
                <c:pt idx="4">
                  <c:v>17</c:v>
                </c:pt>
                <c:pt idx="5">
                  <c:v>7</c:v>
                </c:pt>
              </c:numCache>
            </c:numRef>
          </c:yVal>
          <c:smooth val="1"/>
          <c:extLst>
            <c:ext xmlns:c16="http://schemas.microsoft.com/office/drawing/2014/chart" uri="{C3380CC4-5D6E-409C-BE32-E72D297353CC}">
              <c16:uniqueId val="{00000019-A7D9-4D6D-B535-0425262688E7}"/>
            </c:ext>
          </c:extLst>
        </c:ser>
        <c:ser>
          <c:idx val="12"/>
          <c:order val="5"/>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imperial!$Q$18:$Q$28</c:f>
              <c:numCache>
                <c:formatCode>General</c:formatCode>
                <c:ptCount val="11"/>
                <c:pt idx="0">
                  <c:v>28</c:v>
                </c:pt>
                <c:pt idx="1">
                  <c:v>21</c:v>
                </c:pt>
                <c:pt idx="2">
                  <c:v>14</c:v>
                </c:pt>
                <c:pt idx="3">
                  <c:v>7</c:v>
                </c:pt>
                <c:pt idx="4">
                  <c:v>0</c:v>
                </c:pt>
              </c:numCache>
            </c:numRef>
          </c:yVal>
          <c:smooth val="1"/>
          <c:extLst>
            <c:ext xmlns:c16="http://schemas.microsoft.com/office/drawing/2014/chart" uri="{C3380CC4-5D6E-409C-BE32-E72D297353CC}">
              <c16:uniqueId val="{0000001A-A7D9-4D6D-B535-0425262688E7}"/>
            </c:ext>
          </c:extLst>
        </c:ser>
        <c:ser>
          <c:idx val="13"/>
          <c:order val="6"/>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imperial!$R$18:$R$28</c:f>
              <c:numCache>
                <c:formatCode>General</c:formatCode>
                <c:ptCount val="11"/>
                <c:pt idx="0">
                  <c:v>4.5</c:v>
                </c:pt>
              </c:numCache>
            </c:numRef>
          </c:yVal>
          <c:smooth val="1"/>
          <c:extLst>
            <c:ext xmlns:c16="http://schemas.microsoft.com/office/drawing/2014/chart" uri="{C3380CC4-5D6E-409C-BE32-E72D297353CC}">
              <c16:uniqueId val="{0000001B-A7D9-4D6D-B535-0425262688E7}"/>
            </c:ext>
          </c:extLst>
        </c:ser>
        <c:ser>
          <c:idx val="0"/>
          <c:order val="7"/>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imperial!$L$18:$L$28</c:f>
              <c:numCache>
                <c:formatCode>General</c:formatCode>
                <c:ptCount val="11"/>
                <c:pt idx="0">
                  <c:v>72</c:v>
                </c:pt>
                <c:pt idx="1">
                  <c:v>72</c:v>
                </c:pt>
                <c:pt idx="2">
                  <c:v>71</c:v>
                </c:pt>
                <c:pt idx="3">
                  <c:v>69</c:v>
                </c:pt>
                <c:pt idx="4">
                  <c:v>64.5</c:v>
                </c:pt>
                <c:pt idx="5">
                  <c:v>54</c:v>
                </c:pt>
                <c:pt idx="6">
                  <c:v>28</c:v>
                </c:pt>
              </c:numCache>
            </c:numRef>
          </c:yVal>
          <c:smooth val="1"/>
          <c:extLst>
            <c:ext xmlns:c16="http://schemas.microsoft.com/office/drawing/2014/chart" uri="{C3380CC4-5D6E-409C-BE32-E72D297353CC}">
              <c16:uniqueId val="{00000008-A7D9-4D6D-B535-0425262688E7}"/>
            </c:ext>
          </c:extLst>
        </c:ser>
        <c:ser>
          <c:idx val="1"/>
          <c:order val="8"/>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imperial!$M$18:$M$28</c:f>
              <c:numCache>
                <c:formatCode>General</c:formatCode>
                <c:ptCount val="11"/>
                <c:pt idx="0">
                  <c:v>69</c:v>
                </c:pt>
                <c:pt idx="1">
                  <c:v>68.5</c:v>
                </c:pt>
                <c:pt idx="2">
                  <c:v>67</c:v>
                </c:pt>
                <c:pt idx="3">
                  <c:v>65</c:v>
                </c:pt>
                <c:pt idx="4">
                  <c:v>60</c:v>
                </c:pt>
                <c:pt idx="5">
                  <c:v>48</c:v>
                </c:pt>
                <c:pt idx="6">
                  <c:v>18</c:v>
                </c:pt>
              </c:numCache>
            </c:numRef>
          </c:yVal>
          <c:smooth val="1"/>
          <c:extLst>
            <c:ext xmlns:c16="http://schemas.microsoft.com/office/drawing/2014/chart" uri="{C3380CC4-5D6E-409C-BE32-E72D297353CC}">
              <c16:uniqueId val="{0000000A-A7D9-4D6D-B535-0425262688E7}"/>
            </c:ext>
          </c:extLst>
        </c:ser>
        <c:ser>
          <c:idx val="2"/>
          <c:order val="9"/>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imperial!$N$18:$N$28</c:f>
              <c:numCache>
                <c:formatCode>General</c:formatCode>
                <c:ptCount val="11"/>
                <c:pt idx="0">
                  <c:v>65</c:v>
                </c:pt>
                <c:pt idx="1">
                  <c:v>63</c:v>
                </c:pt>
                <c:pt idx="2">
                  <c:v>60</c:v>
                </c:pt>
                <c:pt idx="3">
                  <c:v>55.5</c:v>
                </c:pt>
                <c:pt idx="4">
                  <c:v>48.5</c:v>
                </c:pt>
                <c:pt idx="5">
                  <c:v>35.5</c:v>
                </c:pt>
                <c:pt idx="6">
                  <c:v>9</c:v>
                </c:pt>
              </c:numCache>
            </c:numRef>
          </c:yVal>
          <c:smooth val="1"/>
          <c:extLst>
            <c:ext xmlns:c16="http://schemas.microsoft.com/office/drawing/2014/chart" uri="{C3380CC4-5D6E-409C-BE32-E72D297353CC}">
              <c16:uniqueId val="{0000000C-A7D9-4D6D-B535-0425262688E7}"/>
            </c:ext>
          </c:extLst>
        </c:ser>
        <c:ser>
          <c:idx val="3"/>
          <c:order val="10"/>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imperial!$O$18:$O$28</c:f>
              <c:numCache>
                <c:formatCode>General</c:formatCode>
                <c:ptCount val="11"/>
                <c:pt idx="0">
                  <c:v>57</c:v>
                </c:pt>
                <c:pt idx="1">
                  <c:v>54</c:v>
                </c:pt>
                <c:pt idx="2">
                  <c:v>49</c:v>
                </c:pt>
                <c:pt idx="3">
                  <c:v>43</c:v>
                </c:pt>
                <c:pt idx="4">
                  <c:v>34</c:v>
                </c:pt>
                <c:pt idx="5">
                  <c:v>21</c:v>
                </c:pt>
                <c:pt idx="6">
                  <c:v>1</c:v>
                </c:pt>
              </c:numCache>
            </c:numRef>
          </c:yVal>
          <c:smooth val="1"/>
          <c:extLst>
            <c:ext xmlns:c16="http://schemas.microsoft.com/office/drawing/2014/chart" uri="{C3380CC4-5D6E-409C-BE32-E72D297353CC}">
              <c16:uniqueId val="{0000000E-A7D9-4D6D-B535-0425262688E7}"/>
            </c:ext>
          </c:extLst>
        </c:ser>
        <c:ser>
          <c:idx val="4"/>
          <c:order val="11"/>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imperial!$P$18:$P$28</c:f>
              <c:numCache>
                <c:formatCode>General</c:formatCode>
                <c:ptCount val="11"/>
                <c:pt idx="0">
                  <c:v>45</c:v>
                </c:pt>
                <c:pt idx="1">
                  <c:v>39</c:v>
                </c:pt>
                <c:pt idx="2">
                  <c:v>33</c:v>
                </c:pt>
                <c:pt idx="3">
                  <c:v>26</c:v>
                </c:pt>
                <c:pt idx="4">
                  <c:v>17</c:v>
                </c:pt>
                <c:pt idx="5">
                  <c:v>7</c:v>
                </c:pt>
              </c:numCache>
            </c:numRef>
          </c:yVal>
          <c:smooth val="1"/>
          <c:extLst>
            <c:ext xmlns:c16="http://schemas.microsoft.com/office/drawing/2014/chart" uri="{C3380CC4-5D6E-409C-BE32-E72D297353CC}">
              <c16:uniqueId val="{00000010-A7D9-4D6D-B535-0425262688E7}"/>
            </c:ext>
          </c:extLst>
        </c:ser>
        <c:ser>
          <c:idx val="5"/>
          <c:order val="12"/>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imperial!$Q$18:$Q$28</c:f>
              <c:numCache>
                <c:formatCode>General</c:formatCode>
                <c:ptCount val="11"/>
                <c:pt idx="0">
                  <c:v>28</c:v>
                </c:pt>
                <c:pt idx="1">
                  <c:v>21</c:v>
                </c:pt>
                <c:pt idx="2">
                  <c:v>14</c:v>
                </c:pt>
                <c:pt idx="3">
                  <c:v>7</c:v>
                </c:pt>
                <c:pt idx="4">
                  <c:v>0</c:v>
                </c:pt>
              </c:numCache>
            </c:numRef>
          </c:yVal>
          <c:smooth val="1"/>
          <c:extLst>
            <c:ext xmlns:c16="http://schemas.microsoft.com/office/drawing/2014/chart" uri="{C3380CC4-5D6E-409C-BE32-E72D297353CC}">
              <c16:uniqueId val="{00000012-A7D9-4D6D-B535-0425262688E7}"/>
            </c:ext>
          </c:extLst>
        </c:ser>
        <c:ser>
          <c:idx val="6"/>
          <c:order val="13"/>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imperial!$R$18:$R$28</c:f>
              <c:numCache>
                <c:formatCode>General</c:formatCode>
                <c:ptCount val="11"/>
                <c:pt idx="0">
                  <c:v>4.5</c:v>
                </c:pt>
              </c:numCache>
            </c:numRef>
          </c:yVal>
          <c:smooth val="1"/>
          <c:extLst>
            <c:ext xmlns:c16="http://schemas.microsoft.com/office/drawing/2014/chart" uri="{C3380CC4-5D6E-409C-BE32-E72D297353CC}">
              <c16:uniqueId val="{00000014-A7D9-4D6D-B535-0425262688E7}"/>
            </c:ext>
          </c:extLst>
        </c:ser>
        <c:dLbls>
          <c:showLegendKey val="0"/>
          <c:showVal val="0"/>
          <c:showCatName val="0"/>
          <c:showSerName val="0"/>
          <c:showPercent val="0"/>
          <c:showBubbleSize val="0"/>
        </c:dLbls>
        <c:axId val="530161120"/>
        <c:axId val="530165712"/>
      </c:scatterChart>
      <c:valAx>
        <c:axId val="530161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165712"/>
        <c:crosses val="autoZero"/>
        <c:crossBetween val="midCat"/>
      </c:valAx>
      <c:valAx>
        <c:axId val="530165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161120"/>
        <c:crosses val="autoZero"/>
        <c:crossBetween val="midCat"/>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714371724885333E-2"/>
          <c:y val="7.8276086671979689E-2"/>
          <c:w val="0.92679335435603361"/>
          <c:h val="0.83222440436916978"/>
        </c:manualLayout>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imperial!$F$4:$V$4</c:f>
              <c:numCache>
                <c:formatCode>General</c:formatCode>
                <c:ptCount val="17"/>
                <c:pt idx="0">
                  <c:v>0</c:v>
                </c:pt>
                <c:pt idx="1">
                  <c:v>28.5</c:v>
                </c:pt>
                <c:pt idx="2">
                  <c:v>66.75</c:v>
                </c:pt>
                <c:pt idx="3">
                  <c:v>105</c:v>
                </c:pt>
                <c:pt idx="4">
                  <c:v>143.25</c:v>
                </c:pt>
                <c:pt idx="5">
                  <c:v>181.5</c:v>
                </c:pt>
                <c:pt idx="6">
                  <c:v>219.75</c:v>
                </c:pt>
                <c:pt idx="7">
                  <c:v>258</c:v>
                </c:pt>
                <c:pt idx="8">
                  <c:v>296.25</c:v>
                </c:pt>
                <c:pt idx="9">
                  <c:v>334.5</c:v>
                </c:pt>
                <c:pt idx="10">
                  <c:v>372.75</c:v>
                </c:pt>
                <c:pt idx="11">
                  <c:v>411</c:v>
                </c:pt>
                <c:pt idx="12">
                  <c:v>463.5</c:v>
                </c:pt>
              </c:numCache>
            </c:numRef>
          </c:xVal>
          <c:yVal>
            <c:numRef>
              <c:f>imperial!$F$18:$V$18</c:f>
              <c:numCache>
                <c:formatCode>General</c:formatCode>
                <c:ptCount val="17"/>
                <c:pt idx="1">
                  <c:v>38</c:v>
                </c:pt>
                <c:pt idx="2">
                  <c:v>56</c:v>
                </c:pt>
                <c:pt idx="3">
                  <c:v>65</c:v>
                </c:pt>
                <c:pt idx="4">
                  <c:v>69</c:v>
                </c:pt>
                <c:pt idx="5">
                  <c:v>72</c:v>
                </c:pt>
                <c:pt idx="6">
                  <c:v>72</c:v>
                </c:pt>
                <c:pt idx="7">
                  <c:v>69</c:v>
                </c:pt>
                <c:pt idx="8">
                  <c:v>65</c:v>
                </c:pt>
                <c:pt idx="9">
                  <c:v>57</c:v>
                </c:pt>
                <c:pt idx="10">
                  <c:v>45</c:v>
                </c:pt>
                <c:pt idx="11">
                  <c:v>28</c:v>
                </c:pt>
                <c:pt idx="12">
                  <c:v>4.5</c:v>
                </c:pt>
              </c:numCache>
            </c:numRef>
          </c:yVal>
          <c:smooth val="1"/>
          <c:extLst>
            <c:ext xmlns:c16="http://schemas.microsoft.com/office/drawing/2014/chart" uri="{C3380CC4-5D6E-409C-BE32-E72D297353CC}">
              <c16:uniqueId val="{00000000-D183-4135-8C30-7CCD11D391C6}"/>
            </c:ext>
          </c:extLst>
        </c:ser>
        <c: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imperial!$F$4:$V$4</c:f>
              <c:numCache>
                <c:formatCode>General</c:formatCode>
                <c:ptCount val="17"/>
                <c:pt idx="0">
                  <c:v>0</c:v>
                </c:pt>
                <c:pt idx="1">
                  <c:v>28.5</c:v>
                </c:pt>
                <c:pt idx="2">
                  <c:v>66.75</c:v>
                </c:pt>
                <c:pt idx="3">
                  <c:v>105</c:v>
                </c:pt>
                <c:pt idx="4">
                  <c:v>143.25</c:v>
                </c:pt>
                <c:pt idx="5">
                  <c:v>181.5</c:v>
                </c:pt>
                <c:pt idx="6">
                  <c:v>219.75</c:v>
                </c:pt>
                <c:pt idx="7">
                  <c:v>258</c:v>
                </c:pt>
                <c:pt idx="8">
                  <c:v>296.25</c:v>
                </c:pt>
                <c:pt idx="9">
                  <c:v>334.5</c:v>
                </c:pt>
                <c:pt idx="10">
                  <c:v>372.75</c:v>
                </c:pt>
                <c:pt idx="11">
                  <c:v>411</c:v>
                </c:pt>
                <c:pt idx="12">
                  <c:v>463.5</c:v>
                </c:pt>
              </c:numCache>
            </c:numRef>
          </c:xVal>
          <c:yVal>
            <c:numRef>
              <c:f>imperial!$F$19:$V$19</c:f>
              <c:numCache>
                <c:formatCode>General</c:formatCode>
                <c:ptCount val="17"/>
                <c:pt idx="0">
                  <c:v>0</c:v>
                </c:pt>
                <c:pt idx="1">
                  <c:v>39</c:v>
                </c:pt>
                <c:pt idx="2">
                  <c:v>57</c:v>
                </c:pt>
                <c:pt idx="3">
                  <c:v>65</c:v>
                </c:pt>
                <c:pt idx="4">
                  <c:v>70</c:v>
                </c:pt>
                <c:pt idx="5">
                  <c:v>72</c:v>
                </c:pt>
                <c:pt idx="6">
                  <c:v>72</c:v>
                </c:pt>
                <c:pt idx="7">
                  <c:v>68.5</c:v>
                </c:pt>
                <c:pt idx="8">
                  <c:v>63</c:v>
                </c:pt>
                <c:pt idx="9">
                  <c:v>54</c:v>
                </c:pt>
                <c:pt idx="10">
                  <c:v>39</c:v>
                </c:pt>
                <c:pt idx="11">
                  <c:v>21</c:v>
                </c:pt>
              </c:numCache>
            </c:numRef>
          </c:yVal>
          <c:smooth val="1"/>
          <c:extLst>
            <c:ext xmlns:c16="http://schemas.microsoft.com/office/drawing/2014/chart" uri="{C3380CC4-5D6E-409C-BE32-E72D297353CC}">
              <c16:uniqueId val="{00000001-D183-4135-8C30-7CCD11D391C6}"/>
            </c:ext>
          </c:extLst>
        </c:ser>
        <c:ser>
          <c:idx val="2"/>
          <c:order val="2"/>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imperial!$F$4:$V$4</c:f>
              <c:numCache>
                <c:formatCode>General</c:formatCode>
                <c:ptCount val="17"/>
                <c:pt idx="0">
                  <c:v>0</c:v>
                </c:pt>
                <c:pt idx="1">
                  <c:v>28.5</c:v>
                </c:pt>
                <c:pt idx="2">
                  <c:v>66.75</c:v>
                </c:pt>
                <c:pt idx="3">
                  <c:v>105</c:v>
                </c:pt>
                <c:pt idx="4">
                  <c:v>143.25</c:v>
                </c:pt>
                <c:pt idx="5">
                  <c:v>181.5</c:v>
                </c:pt>
                <c:pt idx="6">
                  <c:v>219.75</c:v>
                </c:pt>
                <c:pt idx="7">
                  <c:v>258</c:v>
                </c:pt>
                <c:pt idx="8">
                  <c:v>296.25</c:v>
                </c:pt>
                <c:pt idx="9">
                  <c:v>334.5</c:v>
                </c:pt>
                <c:pt idx="10">
                  <c:v>372.75</c:v>
                </c:pt>
                <c:pt idx="11">
                  <c:v>411</c:v>
                </c:pt>
                <c:pt idx="12">
                  <c:v>463.5</c:v>
                </c:pt>
              </c:numCache>
            </c:numRef>
          </c:xVal>
          <c:yVal>
            <c:numRef>
              <c:f>imperial!$F$20:$V$20</c:f>
              <c:numCache>
                <c:formatCode>General</c:formatCode>
                <c:ptCount val="17"/>
                <c:pt idx="1">
                  <c:v>38</c:v>
                </c:pt>
                <c:pt idx="2">
                  <c:v>56</c:v>
                </c:pt>
                <c:pt idx="3">
                  <c:v>64.5</c:v>
                </c:pt>
                <c:pt idx="4">
                  <c:v>70</c:v>
                </c:pt>
                <c:pt idx="5">
                  <c:v>72</c:v>
                </c:pt>
                <c:pt idx="6">
                  <c:v>71</c:v>
                </c:pt>
                <c:pt idx="7">
                  <c:v>67</c:v>
                </c:pt>
                <c:pt idx="8">
                  <c:v>60</c:v>
                </c:pt>
                <c:pt idx="9">
                  <c:v>49</c:v>
                </c:pt>
                <c:pt idx="10">
                  <c:v>33</c:v>
                </c:pt>
                <c:pt idx="11">
                  <c:v>14</c:v>
                </c:pt>
              </c:numCache>
            </c:numRef>
          </c:yVal>
          <c:smooth val="1"/>
          <c:extLst>
            <c:ext xmlns:c16="http://schemas.microsoft.com/office/drawing/2014/chart" uri="{C3380CC4-5D6E-409C-BE32-E72D297353CC}">
              <c16:uniqueId val="{00000002-D183-4135-8C30-7CCD11D391C6}"/>
            </c:ext>
          </c:extLst>
        </c:ser>
        <c:ser>
          <c:idx val="3"/>
          <c:order val="3"/>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imperial!$F$4:$V$4</c:f>
              <c:numCache>
                <c:formatCode>General</c:formatCode>
                <c:ptCount val="17"/>
                <c:pt idx="0">
                  <c:v>0</c:v>
                </c:pt>
                <c:pt idx="1">
                  <c:v>28.5</c:v>
                </c:pt>
                <c:pt idx="2">
                  <c:v>66.75</c:v>
                </c:pt>
                <c:pt idx="3">
                  <c:v>105</c:v>
                </c:pt>
                <c:pt idx="4">
                  <c:v>143.25</c:v>
                </c:pt>
                <c:pt idx="5">
                  <c:v>181.5</c:v>
                </c:pt>
                <c:pt idx="6">
                  <c:v>219.75</c:v>
                </c:pt>
                <c:pt idx="7">
                  <c:v>258</c:v>
                </c:pt>
                <c:pt idx="8">
                  <c:v>296.25</c:v>
                </c:pt>
                <c:pt idx="9">
                  <c:v>334.5</c:v>
                </c:pt>
                <c:pt idx="10">
                  <c:v>372.75</c:v>
                </c:pt>
                <c:pt idx="11">
                  <c:v>411</c:v>
                </c:pt>
                <c:pt idx="12">
                  <c:v>463.5</c:v>
                </c:pt>
              </c:numCache>
            </c:numRef>
          </c:xVal>
          <c:yVal>
            <c:numRef>
              <c:f>imperial!$F$21:$V$21</c:f>
              <c:numCache>
                <c:formatCode>General</c:formatCode>
                <c:ptCount val="17"/>
                <c:pt idx="1">
                  <c:v>27</c:v>
                </c:pt>
                <c:pt idx="2">
                  <c:v>51</c:v>
                </c:pt>
                <c:pt idx="3">
                  <c:v>62</c:v>
                </c:pt>
                <c:pt idx="4">
                  <c:v>68</c:v>
                </c:pt>
                <c:pt idx="5">
                  <c:v>71</c:v>
                </c:pt>
                <c:pt idx="6">
                  <c:v>69</c:v>
                </c:pt>
                <c:pt idx="7">
                  <c:v>65</c:v>
                </c:pt>
                <c:pt idx="8">
                  <c:v>55.5</c:v>
                </c:pt>
                <c:pt idx="9">
                  <c:v>43</c:v>
                </c:pt>
                <c:pt idx="10">
                  <c:v>26</c:v>
                </c:pt>
                <c:pt idx="11">
                  <c:v>7</c:v>
                </c:pt>
              </c:numCache>
            </c:numRef>
          </c:yVal>
          <c:smooth val="1"/>
          <c:extLst>
            <c:ext xmlns:c16="http://schemas.microsoft.com/office/drawing/2014/chart" uri="{C3380CC4-5D6E-409C-BE32-E72D297353CC}">
              <c16:uniqueId val="{00000003-D183-4135-8C30-7CCD11D391C6}"/>
            </c:ext>
          </c:extLst>
        </c:ser>
        <c:ser>
          <c:idx val="4"/>
          <c:order val="4"/>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imperial!$F$4:$V$4</c:f>
              <c:numCache>
                <c:formatCode>General</c:formatCode>
                <c:ptCount val="17"/>
                <c:pt idx="0">
                  <c:v>0</c:v>
                </c:pt>
                <c:pt idx="1">
                  <c:v>28.5</c:v>
                </c:pt>
                <c:pt idx="2">
                  <c:v>66.75</c:v>
                </c:pt>
                <c:pt idx="3">
                  <c:v>105</c:v>
                </c:pt>
                <c:pt idx="4">
                  <c:v>143.25</c:v>
                </c:pt>
                <c:pt idx="5">
                  <c:v>181.5</c:v>
                </c:pt>
                <c:pt idx="6">
                  <c:v>219.75</c:v>
                </c:pt>
                <c:pt idx="7">
                  <c:v>258</c:v>
                </c:pt>
                <c:pt idx="8">
                  <c:v>296.25</c:v>
                </c:pt>
                <c:pt idx="9">
                  <c:v>334.5</c:v>
                </c:pt>
                <c:pt idx="10">
                  <c:v>372.75</c:v>
                </c:pt>
                <c:pt idx="11">
                  <c:v>411</c:v>
                </c:pt>
                <c:pt idx="12">
                  <c:v>463.5</c:v>
                </c:pt>
              </c:numCache>
            </c:numRef>
          </c:xVal>
          <c:yVal>
            <c:numRef>
              <c:f>imperial!$F$22:$V$22</c:f>
              <c:numCache>
                <c:formatCode>General</c:formatCode>
                <c:ptCount val="17"/>
                <c:pt idx="1">
                  <c:v>0</c:v>
                </c:pt>
                <c:pt idx="2">
                  <c:v>38</c:v>
                </c:pt>
                <c:pt idx="3">
                  <c:v>54</c:v>
                </c:pt>
                <c:pt idx="4">
                  <c:v>63</c:v>
                </c:pt>
                <c:pt idx="5">
                  <c:v>66</c:v>
                </c:pt>
                <c:pt idx="6">
                  <c:v>64.5</c:v>
                </c:pt>
                <c:pt idx="7">
                  <c:v>60</c:v>
                </c:pt>
                <c:pt idx="8">
                  <c:v>48.5</c:v>
                </c:pt>
                <c:pt idx="9">
                  <c:v>34</c:v>
                </c:pt>
                <c:pt idx="10">
                  <c:v>17</c:v>
                </c:pt>
                <c:pt idx="11">
                  <c:v>0</c:v>
                </c:pt>
                <c:pt idx="13">
                  <c:v>0</c:v>
                </c:pt>
              </c:numCache>
            </c:numRef>
          </c:yVal>
          <c:smooth val="1"/>
          <c:extLst>
            <c:ext xmlns:c16="http://schemas.microsoft.com/office/drawing/2014/chart" uri="{C3380CC4-5D6E-409C-BE32-E72D297353CC}">
              <c16:uniqueId val="{00000004-D183-4135-8C30-7CCD11D391C6}"/>
            </c:ext>
          </c:extLst>
        </c:ser>
        <c:ser>
          <c:idx val="5"/>
          <c:order val="5"/>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imperial!$F$4:$V$4</c:f>
              <c:numCache>
                <c:formatCode>General</c:formatCode>
                <c:ptCount val="17"/>
                <c:pt idx="0">
                  <c:v>0</c:v>
                </c:pt>
                <c:pt idx="1">
                  <c:v>28.5</c:v>
                </c:pt>
                <c:pt idx="2">
                  <c:v>66.75</c:v>
                </c:pt>
                <c:pt idx="3">
                  <c:v>105</c:v>
                </c:pt>
                <c:pt idx="4">
                  <c:v>143.25</c:v>
                </c:pt>
                <c:pt idx="5">
                  <c:v>181.5</c:v>
                </c:pt>
                <c:pt idx="6">
                  <c:v>219.75</c:v>
                </c:pt>
                <c:pt idx="7">
                  <c:v>258</c:v>
                </c:pt>
                <c:pt idx="8">
                  <c:v>296.25</c:v>
                </c:pt>
                <c:pt idx="9">
                  <c:v>334.5</c:v>
                </c:pt>
                <c:pt idx="10">
                  <c:v>372.75</c:v>
                </c:pt>
                <c:pt idx="11">
                  <c:v>411</c:v>
                </c:pt>
                <c:pt idx="12">
                  <c:v>463.5</c:v>
                </c:pt>
              </c:numCache>
            </c:numRef>
          </c:xVal>
          <c:yVal>
            <c:numRef>
              <c:f>imperial!$F$23:$V$23</c:f>
              <c:numCache>
                <c:formatCode>General</c:formatCode>
                <c:ptCount val="17"/>
                <c:pt idx="2">
                  <c:v>12</c:v>
                </c:pt>
                <c:pt idx="3">
                  <c:v>38</c:v>
                </c:pt>
                <c:pt idx="4">
                  <c:v>50</c:v>
                </c:pt>
                <c:pt idx="5">
                  <c:v>55</c:v>
                </c:pt>
                <c:pt idx="6">
                  <c:v>54</c:v>
                </c:pt>
                <c:pt idx="7">
                  <c:v>48</c:v>
                </c:pt>
                <c:pt idx="8">
                  <c:v>35.5</c:v>
                </c:pt>
                <c:pt idx="9">
                  <c:v>21</c:v>
                </c:pt>
                <c:pt idx="10">
                  <c:v>7</c:v>
                </c:pt>
              </c:numCache>
            </c:numRef>
          </c:yVal>
          <c:smooth val="1"/>
          <c:extLst>
            <c:ext xmlns:c16="http://schemas.microsoft.com/office/drawing/2014/chart" uri="{C3380CC4-5D6E-409C-BE32-E72D297353CC}">
              <c16:uniqueId val="{00000005-D183-4135-8C30-7CCD11D391C6}"/>
            </c:ext>
          </c:extLst>
        </c:ser>
        <c:ser>
          <c:idx val="6"/>
          <c:order val="6"/>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imperial!$F$4:$V$4</c:f>
              <c:numCache>
                <c:formatCode>General</c:formatCode>
                <c:ptCount val="17"/>
                <c:pt idx="0">
                  <c:v>0</c:v>
                </c:pt>
                <c:pt idx="1">
                  <c:v>28.5</c:v>
                </c:pt>
                <c:pt idx="2">
                  <c:v>66.75</c:v>
                </c:pt>
                <c:pt idx="3">
                  <c:v>105</c:v>
                </c:pt>
                <c:pt idx="4">
                  <c:v>143.25</c:v>
                </c:pt>
                <c:pt idx="5">
                  <c:v>181.5</c:v>
                </c:pt>
                <c:pt idx="6">
                  <c:v>219.75</c:v>
                </c:pt>
                <c:pt idx="7">
                  <c:v>258</c:v>
                </c:pt>
                <c:pt idx="8">
                  <c:v>296.25</c:v>
                </c:pt>
                <c:pt idx="9">
                  <c:v>334.5</c:v>
                </c:pt>
                <c:pt idx="10">
                  <c:v>372.75</c:v>
                </c:pt>
                <c:pt idx="11">
                  <c:v>411</c:v>
                </c:pt>
                <c:pt idx="12">
                  <c:v>463.5</c:v>
                </c:pt>
              </c:numCache>
            </c:numRef>
          </c:xVal>
          <c:yVal>
            <c:numRef>
              <c:f>imperial!$F$24:$V$24</c:f>
              <c:numCache>
                <c:formatCode>General</c:formatCode>
                <c:ptCount val="17"/>
                <c:pt idx="3">
                  <c:v>1</c:v>
                </c:pt>
                <c:pt idx="4">
                  <c:v>16</c:v>
                </c:pt>
                <c:pt idx="5">
                  <c:v>27</c:v>
                </c:pt>
                <c:pt idx="6">
                  <c:v>28</c:v>
                </c:pt>
                <c:pt idx="7">
                  <c:v>18</c:v>
                </c:pt>
                <c:pt idx="8">
                  <c:v>9</c:v>
                </c:pt>
                <c:pt idx="9">
                  <c:v>1</c:v>
                </c:pt>
              </c:numCache>
            </c:numRef>
          </c:yVal>
          <c:smooth val="1"/>
          <c:extLst>
            <c:ext xmlns:c16="http://schemas.microsoft.com/office/drawing/2014/chart" uri="{C3380CC4-5D6E-409C-BE32-E72D297353CC}">
              <c16:uniqueId val="{00000006-D183-4135-8C30-7CCD11D391C6}"/>
            </c:ext>
          </c:extLst>
        </c:ser>
        <c:ser>
          <c:idx val="7"/>
          <c:order val="7"/>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imperial!$F$4:$V$4</c:f>
              <c:numCache>
                <c:formatCode>General</c:formatCode>
                <c:ptCount val="17"/>
                <c:pt idx="0">
                  <c:v>0</c:v>
                </c:pt>
                <c:pt idx="1">
                  <c:v>28.5</c:v>
                </c:pt>
                <c:pt idx="2">
                  <c:v>66.75</c:v>
                </c:pt>
                <c:pt idx="3">
                  <c:v>105</c:v>
                </c:pt>
                <c:pt idx="4">
                  <c:v>143.25</c:v>
                </c:pt>
                <c:pt idx="5">
                  <c:v>181.5</c:v>
                </c:pt>
                <c:pt idx="6">
                  <c:v>219.75</c:v>
                </c:pt>
                <c:pt idx="7">
                  <c:v>258</c:v>
                </c:pt>
                <c:pt idx="8">
                  <c:v>296.25</c:v>
                </c:pt>
                <c:pt idx="9">
                  <c:v>334.5</c:v>
                </c:pt>
                <c:pt idx="10">
                  <c:v>372.75</c:v>
                </c:pt>
                <c:pt idx="11">
                  <c:v>411</c:v>
                </c:pt>
                <c:pt idx="12">
                  <c:v>463.5</c:v>
                </c:pt>
              </c:numCache>
            </c:numRef>
          </c:xVal>
          <c:yVal>
            <c:numRef>
              <c:f>imperial!$F$25:$V$25</c:f>
              <c:numCache>
                <c:formatCode>General</c:formatCode>
                <c:ptCount val="17"/>
              </c:numCache>
            </c:numRef>
          </c:yVal>
          <c:smooth val="1"/>
          <c:extLst>
            <c:ext xmlns:c16="http://schemas.microsoft.com/office/drawing/2014/chart" uri="{C3380CC4-5D6E-409C-BE32-E72D297353CC}">
              <c16:uniqueId val="{00000007-D183-4135-8C30-7CCD11D391C6}"/>
            </c:ext>
          </c:extLst>
        </c:ser>
        <c:ser>
          <c:idx val="8"/>
          <c:order val="8"/>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imperial!$F$4:$V$4</c:f>
              <c:numCache>
                <c:formatCode>General</c:formatCode>
                <c:ptCount val="17"/>
                <c:pt idx="0">
                  <c:v>0</c:v>
                </c:pt>
                <c:pt idx="1">
                  <c:v>28.5</c:v>
                </c:pt>
                <c:pt idx="2">
                  <c:v>66.75</c:v>
                </c:pt>
                <c:pt idx="3">
                  <c:v>105</c:v>
                </c:pt>
                <c:pt idx="4">
                  <c:v>143.25</c:v>
                </c:pt>
                <c:pt idx="5">
                  <c:v>181.5</c:v>
                </c:pt>
                <c:pt idx="6">
                  <c:v>219.75</c:v>
                </c:pt>
                <c:pt idx="7">
                  <c:v>258</c:v>
                </c:pt>
                <c:pt idx="8">
                  <c:v>296.25</c:v>
                </c:pt>
                <c:pt idx="9">
                  <c:v>334.5</c:v>
                </c:pt>
                <c:pt idx="10">
                  <c:v>372.75</c:v>
                </c:pt>
                <c:pt idx="11">
                  <c:v>411</c:v>
                </c:pt>
                <c:pt idx="12">
                  <c:v>463.5</c:v>
                </c:pt>
              </c:numCache>
            </c:numRef>
          </c:xVal>
          <c:yVal>
            <c:numRef>
              <c:f>imperial!$F$26:$V$26</c:f>
              <c:numCache>
                <c:formatCode>General</c:formatCode>
                <c:ptCount val="17"/>
              </c:numCache>
            </c:numRef>
          </c:yVal>
          <c:smooth val="1"/>
          <c:extLst>
            <c:ext xmlns:c16="http://schemas.microsoft.com/office/drawing/2014/chart" uri="{C3380CC4-5D6E-409C-BE32-E72D297353CC}">
              <c16:uniqueId val="{00000008-D183-4135-8C30-7CCD11D391C6}"/>
            </c:ext>
          </c:extLst>
        </c:ser>
        <c:ser>
          <c:idx val="9"/>
          <c:order val="9"/>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imperial!$F$4:$V$4</c:f>
              <c:numCache>
                <c:formatCode>General</c:formatCode>
                <c:ptCount val="17"/>
                <c:pt idx="0">
                  <c:v>0</c:v>
                </c:pt>
                <c:pt idx="1">
                  <c:v>28.5</c:v>
                </c:pt>
                <c:pt idx="2">
                  <c:v>66.75</c:v>
                </c:pt>
                <c:pt idx="3">
                  <c:v>105</c:v>
                </c:pt>
                <c:pt idx="4">
                  <c:v>143.25</c:v>
                </c:pt>
                <c:pt idx="5">
                  <c:v>181.5</c:v>
                </c:pt>
                <c:pt idx="6">
                  <c:v>219.75</c:v>
                </c:pt>
                <c:pt idx="7">
                  <c:v>258</c:v>
                </c:pt>
                <c:pt idx="8">
                  <c:v>296.25</c:v>
                </c:pt>
                <c:pt idx="9">
                  <c:v>334.5</c:v>
                </c:pt>
                <c:pt idx="10">
                  <c:v>372.75</c:v>
                </c:pt>
                <c:pt idx="11">
                  <c:v>411</c:v>
                </c:pt>
                <c:pt idx="12">
                  <c:v>463.5</c:v>
                </c:pt>
              </c:numCache>
            </c:numRef>
          </c:xVal>
          <c:yVal>
            <c:numRef>
              <c:f>imperial!$F$27:$V$27</c:f>
              <c:numCache>
                <c:formatCode>General</c:formatCode>
                <c:ptCount val="17"/>
              </c:numCache>
            </c:numRef>
          </c:yVal>
          <c:smooth val="1"/>
          <c:extLst>
            <c:ext xmlns:c16="http://schemas.microsoft.com/office/drawing/2014/chart" uri="{C3380CC4-5D6E-409C-BE32-E72D297353CC}">
              <c16:uniqueId val="{00000009-D183-4135-8C30-7CCD11D391C6}"/>
            </c:ext>
          </c:extLst>
        </c:ser>
        <c:ser>
          <c:idx val="10"/>
          <c:order val="10"/>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imperial!$F$4:$V$4</c:f>
              <c:numCache>
                <c:formatCode>General</c:formatCode>
                <c:ptCount val="17"/>
                <c:pt idx="0">
                  <c:v>0</c:v>
                </c:pt>
                <c:pt idx="1">
                  <c:v>28.5</c:v>
                </c:pt>
                <c:pt idx="2">
                  <c:v>66.75</c:v>
                </c:pt>
                <c:pt idx="3">
                  <c:v>105</c:v>
                </c:pt>
                <c:pt idx="4">
                  <c:v>143.25</c:v>
                </c:pt>
                <c:pt idx="5">
                  <c:v>181.5</c:v>
                </c:pt>
                <c:pt idx="6">
                  <c:v>219.75</c:v>
                </c:pt>
                <c:pt idx="7">
                  <c:v>258</c:v>
                </c:pt>
                <c:pt idx="8">
                  <c:v>296.25</c:v>
                </c:pt>
                <c:pt idx="9">
                  <c:v>334.5</c:v>
                </c:pt>
                <c:pt idx="10">
                  <c:v>372.75</c:v>
                </c:pt>
                <c:pt idx="11">
                  <c:v>411</c:v>
                </c:pt>
                <c:pt idx="12">
                  <c:v>463.5</c:v>
                </c:pt>
              </c:numCache>
            </c:numRef>
          </c:xVal>
          <c:yVal>
            <c:numRef>
              <c:f>imperial!$F$28:$V$28</c:f>
              <c:numCache>
                <c:formatCode>General</c:formatCode>
                <c:ptCount val="17"/>
              </c:numCache>
            </c:numRef>
          </c:yVal>
          <c:smooth val="1"/>
          <c:extLst>
            <c:ext xmlns:c16="http://schemas.microsoft.com/office/drawing/2014/chart" uri="{C3380CC4-5D6E-409C-BE32-E72D297353CC}">
              <c16:uniqueId val="{0000000A-D183-4135-8C30-7CCD11D391C6}"/>
            </c:ext>
          </c:extLst>
        </c:ser>
        <c:dLbls>
          <c:showLegendKey val="0"/>
          <c:showVal val="0"/>
          <c:showCatName val="0"/>
          <c:showSerName val="0"/>
          <c:showPercent val="0"/>
          <c:showBubbleSize val="0"/>
        </c:dLbls>
        <c:axId val="530169648"/>
        <c:axId val="530164400"/>
      </c:scatterChart>
      <c:valAx>
        <c:axId val="530169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164400"/>
        <c:crosses val="autoZero"/>
        <c:crossBetween val="midCat"/>
      </c:valAx>
      <c:valAx>
        <c:axId val="530164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16964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imperial!$F$18:$F$28</c:f>
              <c:numCache>
                <c:formatCode>General</c:formatCode>
                <c:ptCount val="11"/>
                <c:pt idx="1">
                  <c:v>0</c:v>
                </c:pt>
              </c:numCache>
            </c:numRef>
          </c:yVal>
          <c:smooth val="1"/>
          <c:extLst>
            <c:ext xmlns:c16="http://schemas.microsoft.com/office/drawing/2014/chart" uri="{C3380CC4-5D6E-409C-BE32-E72D297353CC}">
              <c16:uniqueId val="{00000000-D999-428C-BB48-AA061ADCA597}"/>
            </c:ext>
          </c:extLst>
        </c:ser>
        <c: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imperial!$G$18:$G$28</c:f>
              <c:numCache>
                <c:formatCode>General</c:formatCode>
                <c:ptCount val="11"/>
                <c:pt idx="0">
                  <c:v>38</c:v>
                </c:pt>
                <c:pt idx="1">
                  <c:v>39</c:v>
                </c:pt>
                <c:pt idx="2">
                  <c:v>38</c:v>
                </c:pt>
                <c:pt idx="3">
                  <c:v>27</c:v>
                </c:pt>
                <c:pt idx="4">
                  <c:v>0</c:v>
                </c:pt>
              </c:numCache>
            </c:numRef>
          </c:yVal>
          <c:smooth val="1"/>
          <c:extLst>
            <c:ext xmlns:c16="http://schemas.microsoft.com/office/drawing/2014/chart" uri="{C3380CC4-5D6E-409C-BE32-E72D297353CC}">
              <c16:uniqueId val="{00000001-D999-428C-BB48-AA061ADCA597}"/>
            </c:ext>
          </c:extLst>
        </c:ser>
        <c:ser>
          <c:idx val="2"/>
          <c:order val="2"/>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imperial!$H$18:$H$28</c:f>
              <c:numCache>
                <c:formatCode>General</c:formatCode>
                <c:ptCount val="11"/>
                <c:pt idx="0">
                  <c:v>56</c:v>
                </c:pt>
                <c:pt idx="1">
                  <c:v>57</c:v>
                </c:pt>
                <c:pt idx="2">
                  <c:v>56</c:v>
                </c:pt>
                <c:pt idx="3">
                  <c:v>51</c:v>
                </c:pt>
                <c:pt idx="4">
                  <c:v>38</c:v>
                </c:pt>
                <c:pt idx="5">
                  <c:v>12</c:v>
                </c:pt>
              </c:numCache>
            </c:numRef>
          </c:yVal>
          <c:smooth val="1"/>
          <c:extLst>
            <c:ext xmlns:c16="http://schemas.microsoft.com/office/drawing/2014/chart" uri="{C3380CC4-5D6E-409C-BE32-E72D297353CC}">
              <c16:uniqueId val="{00000002-D999-428C-BB48-AA061ADCA597}"/>
            </c:ext>
          </c:extLst>
        </c:ser>
        <c:ser>
          <c:idx val="3"/>
          <c:order val="3"/>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imperial!$I$18:$I$28</c:f>
              <c:numCache>
                <c:formatCode>General</c:formatCode>
                <c:ptCount val="11"/>
                <c:pt idx="0">
                  <c:v>65</c:v>
                </c:pt>
                <c:pt idx="1">
                  <c:v>65</c:v>
                </c:pt>
                <c:pt idx="2">
                  <c:v>64.5</c:v>
                </c:pt>
                <c:pt idx="3">
                  <c:v>62</c:v>
                </c:pt>
                <c:pt idx="4">
                  <c:v>54</c:v>
                </c:pt>
                <c:pt idx="5">
                  <c:v>38</c:v>
                </c:pt>
                <c:pt idx="6">
                  <c:v>1</c:v>
                </c:pt>
              </c:numCache>
            </c:numRef>
          </c:yVal>
          <c:smooth val="1"/>
          <c:extLst>
            <c:ext xmlns:c16="http://schemas.microsoft.com/office/drawing/2014/chart" uri="{C3380CC4-5D6E-409C-BE32-E72D297353CC}">
              <c16:uniqueId val="{00000003-D999-428C-BB48-AA061ADCA597}"/>
            </c:ext>
          </c:extLst>
        </c:ser>
        <c:ser>
          <c:idx val="4"/>
          <c:order val="4"/>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imperial!$J$18:$J$28</c:f>
              <c:numCache>
                <c:formatCode>General</c:formatCode>
                <c:ptCount val="11"/>
                <c:pt idx="0">
                  <c:v>69</c:v>
                </c:pt>
                <c:pt idx="1">
                  <c:v>70</c:v>
                </c:pt>
                <c:pt idx="2">
                  <c:v>70</c:v>
                </c:pt>
                <c:pt idx="3">
                  <c:v>68</c:v>
                </c:pt>
                <c:pt idx="4">
                  <c:v>63</c:v>
                </c:pt>
                <c:pt idx="5">
                  <c:v>50</c:v>
                </c:pt>
                <c:pt idx="6">
                  <c:v>16</c:v>
                </c:pt>
              </c:numCache>
            </c:numRef>
          </c:yVal>
          <c:smooth val="1"/>
          <c:extLst>
            <c:ext xmlns:c16="http://schemas.microsoft.com/office/drawing/2014/chart" uri="{C3380CC4-5D6E-409C-BE32-E72D297353CC}">
              <c16:uniqueId val="{00000004-D999-428C-BB48-AA061ADCA597}"/>
            </c:ext>
          </c:extLst>
        </c:ser>
        <c:ser>
          <c:idx val="5"/>
          <c:order val="5"/>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imperial!$K$18:$K$28</c:f>
              <c:numCache>
                <c:formatCode>General</c:formatCode>
                <c:ptCount val="11"/>
                <c:pt idx="0">
                  <c:v>72</c:v>
                </c:pt>
                <c:pt idx="1">
                  <c:v>72</c:v>
                </c:pt>
                <c:pt idx="2">
                  <c:v>72</c:v>
                </c:pt>
                <c:pt idx="3">
                  <c:v>71</c:v>
                </c:pt>
                <c:pt idx="4">
                  <c:v>66</c:v>
                </c:pt>
                <c:pt idx="5">
                  <c:v>55</c:v>
                </c:pt>
                <c:pt idx="6">
                  <c:v>27</c:v>
                </c:pt>
              </c:numCache>
            </c:numRef>
          </c:yVal>
          <c:smooth val="1"/>
          <c:extLst>
            <c:ext xmlns:c16="http://schemas.microsoft.com/office/drawing/2014/chart" uri="{C3380CC4-5D6E-409C-BE32-E72D297353CC}">
              <c16:uniqueId val="{00000005-D999-428C-BB48-AA061ADCA597}"/>
            </c:ext>
          </c:extLst>
        </c:ser>
        <c:ser>
          <c:idx val="6"/>
          <c:order val="6"/>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imperial!$E$18:$E$28</c:f>
              <c:numCache>
                <c:formatCode>General</c:formatCode>
                <c:ptCount val="11"/>
                <c:pt idx="0">
                  <c:v>48</c:v>
                </c:pt>
                <c:pt idx="1">
                  <c:v>36</c:v>
                </c:pt>
                <c:pt idx="2">
                  <c:v>24</c:v>
                </c:pt>
                <c:pt idx="3">
                  <c:v>12</c:v>
                </c:pt>
                <c:pt idx="4">
                  <c:v>0</c:v>
                </c:pt>
                <c:pt idx="5">
                  <c:v>-12</c:v>
                </c:pt>
                <c:pt idx="6">
                  <c:v>-24</c:v>
                </c:pt>
                <c:pt idx="7">
                  <c:v>-36</c:v>
                </c:pt>
                <c:pt idx="8">
                  <c:v>-48</c:v>
                </c:pt>
                <c:pt idx="9">
                  <c:v>-60</c:v>
                </c:pt>
                <c:pt idx="10">
                  <c:v>-66</c:v>
                </c:pt>
              </c:numCache>
            </c:numRef>
          </c:xVal>
          <c:yVal>
            <c:numRef>
              <c:f>imperial!$L$18:$L$28</c:f>
              <c:numCache>
                <c:formatCode>General</c:formatCode>
                <c:ptCount val="11"/>
                <c:pt idx="0">
                  <c:v>72</c:v>
                </c:pt>
                <c:pt idx="1">
                  <c:v>72</c:v>
                </c:pt>
                <c:pt idx="2">
                  <c:v>71</c:v>
                </c:pt>
                <c:pt idx="3">
                  <c:v>69</c:v>
                </c:pt>
                <c:pt idx="4">
                  <c:v>64.5</c:v>
                </c:pt>
                <c:pt idx="5">
                  <c:v>54</c:v>
                </c:pt>
                <c:pt idx="6">
                  <c:v>28</c:v>
                </c:pt>
              </c:numCache>
            </c:numRef>
          </c:yVal>
          <c:smooth val="1"/>
          <c:extLst>
            <c:ext xmlns:c16="http://schemas.microsoft.com/office/drawing/2014/chart" uri="{C3380CC4-5D6E-409C-BE32-E72D297353CC}">
              <c16:uniqueId val="{00000006-D999-428C-BB48-AA061ADCA597}"/>
            </c:ext>
          </c:extLst>
        </c:ser>
        <c:dLbls>
          <c:showLegendKey val="0"/>
          <c:showVal val="0"/>
          <c:showCatName val="0"/>
          <c:showSerName val="0"/>
          <c:showPercent val="0"/>
          <c:showBubbleSize val="0"/>
        </c:dLbls>
        <c:axId val="599727416"/>
        <c:axId val="599728728"/>
      </c:scatterChart>
      <c:valAx>
        <c:axId val="599727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728728"/>
        <c:crosses val="autoZero"/>
        <c:crossBetween val="midCat"/>
      </c:valAx>
      <c:valAx>
        <c:axId val="599728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7274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7"/>
          <c:order val="0"/>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metric!$L$18:$L$28</c:f>
              <c:numCache>
                <c:formatCode>_(* #,##0.00_);_(* \(#,##0.00\);_(* "-"??_);_(@_)</c:formatCode>
                <c:ptCount val="11"/>
                <c:pt idx="0">
                  <c:v>1828.8</c:v>
                </c:pt>
                <c:pt idx="1">
                  <c:v>1828.8</c:v>
                </c:pt>
                <c:pt idx="2">
                  <c:v>1803.3999999999999</c:v>
                </c:pt>
                <c:pt idx="3">
                  <c:v>1752.6</c:v>
                </c:pt>
                <c:pt idx="4">
                  <c:v>1638.3</c:v>
                </c:pt>
                <c:pt idx="5">
                  <c:v>1371.6</c:v>
                </c:pt>
                <c:pt idx="6">
                  <c:v>711.19999999999993</c:v>
                </c:pt>
              </c:numCache>
            </c:numRef>
          </c:yVal>
          <c:smooth val="1"/>
          <c:extLst>
            <c:ext xmlns:c16="http://schemas.microsoft.com/office/drawing/2014/chart" uri="{C3380CC4-5D6E-409C-BE32-E72D297353CC}">
              <c16:uniqueId val="{00000000-3F3E-4BEF-A40F-E90482AD10A2}"/>
            </c:ext>
          </c:extLst>
        </c:ser>
        <c:ser>
          <c:idx val="8"/>
          <c:order val="1"/>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metric!$M$18:$M$28</c:f>
              <c:numCache>
                <c:formatCode>_(* #,##0.00_);_(* \(#,##0.00\);_(* "-"??_);_(@_)</c:formatCode>
                <c:ptCount val="11"/>
                <c:pt idx="0">
                  <c:v>1752.6</c:v>
                </c:pt>
                <c:pt idx="1">
                  <c:v>1739.8999999999999</c:v>
                </c:pt>
                <c:pt idx="2">
                  <c:v>1701.8</c:v>
                </c:pt>
                <c:pt idx="3">
                  <c:v>1651</c:v>
                </c:pt>
                <c:pt idx="4">
                  <c:v>1524</c:v>
                </c:pt>
                <c:pt idx="5">
                  <c:v>1219.1999999999998</c:v>
                </c:pt>
                <c:pt idx="6">
                  <c:v>457.2</c:v>
                </c:pt>
              </c:numCache>
            </c:numRef>
          </c:yVal>
          <c:smooth val="1"/>
          <c:extLst>
            <c:ext xmlns:c16="http://schemas.microsoft.com/office/drawing/2014/chart" uri="{C3380CC4-5D6E-409C-BE32-E72D297353CC}">
              <c16:uniqueId val="{00000001-3F3E-4BEF-A40F-E90482AD10A2}"/>
            </c:ext>
          </c:extLst>
        </c:ser>
        <c:ser>
          <c:idx val="9"/>
          <c:order val="2"/>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metric!$N$18:$N$28</c:f>
              <c:numCache>
                <c:formatCode>_(* #,##0.00_);_(* \(#,##0.00\);_(* "-"??_);_(@_)</c:formatCode>
                <c:ptCount val="11"/>
                <c:pt idx="0">
                  <c:v>1651</c:v>
                </c:pt>
                <c:pt idx="1">
                  <c:v>1600.1999999999998</c:v>
                </c:pt>
                <c:pt idx="2">
                  <c:v>1524</c:v>
                </c:pt>
                <c:pt idx="3">
                  <c:v>1409.6999999999998</c:v>
                </c:pt>
                <c:pt idx="4">
                  <c:v>1231.8999999999999</c:v>
                </c:pt>
                <c:pt idx="5">
                  <c:v>901.69999999999993</c:v>
                </c:pt>
                <c:pt idx="6">
                  <c:v>228.6</c:v>
                </c:pt>
              </c:numCache>
            </c:numRef>
          </c:yVal>
          <c:smooth val="1"/>
          <c:extLst>
            <c:ext xmlns:c16="http://schemas.microsoft.com/office/drawing/2014/chart" uri="{C3380CC4-5D6E-409C-BE32-E72D297353CC}">
              <c16:uniqueId val="{00000002-3F3E-4BEF-A40F-E90482AD10A2}"/>
            </c:ext>
          </c:extLst>
        </c:ser>
        <c:ser>
          <c:idx val="10"/>
          <c:order val="3"/>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metric!$O$18:$O$28</c:f>
              <c:numCache>
                <c:formatCode>_(* #,##0.00_);_(* \(#,##0.00\);_(* "-"??_);_(@_)</c:formatCode>
                <c:ptCount val="11"/>
                <c:pt idx="0">
                  <c:v>1447.8</c:v>
                </c:pt>
                <c:pt idx="1">
                  <c:v>1371.6</c:v>
                </c:pt>
                <c:pt idx="2">
                  <c:v>1244.5999999999999</c:v>
                </c:pt>
                <c:pt idx="3">
                  <c:v>1092.2</c:v>
                </c:pt>
                <c:pt idx="4">
                  <c:v>863.59999999999991</c:v>
                </c:pt>
                <c:pt idx="5">
                  <c:v>533.4</c:v>
                </c:pt>
                <c:pt idx="6">
                  <c:v>25.4</c:v>
                </c:pt>
              </c:numCache>
            </c:numRef>
          </c:yVal>
          <c:smooth val="1"/>
          <c:extLst>
            <c:ext xmlns:c16="http://schemas.microsoft.com/office/drawing/2014/chart" uri="{C3380CC4-5D6E-409C-BE32-E72D297353CC}">
              <c16:uniqueId val="{00000003-3F3E-4BEF-A40F-E90482AD10A2}"/>
            </c:ext>
          </c:extLst>
        </c:ser>
        <c:ser>
          <c:idx val="11"/>
          <c:order val="4"/>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metric!$P$18:$P$28</c:f>
              <c:numCache>
                <c:formatCode>_(* #,##0.00_);_(* \(#,##0.00\);_(* "-"??_);_(@_)</c:formatCode>
                <c:ptCount val="11"/>
                <c:pt idx="0">
                  <c:v>1143</c:v>
                </c:pt>
                <c:pt idx="1">
                  <c:v>990.59999999999991</c:v>
                </c:pt>
                <c:pt idx="2">
                  <c:v>838.19999999999993</c:v>
                </c:pt>
                <c:pt idx="3">
                  <c:v>660.4</c:v>
                </c:pt>
                <c:pt idx="4">
                  <c:v>431.79999999999995</c:v>
                </c:pt>
                <c:pt idx="5">
                  <c:v>177.79999999999998</c:v>
                </c:pt>
              </c:numCache>
            </c:numRef>
          </c:yVal>
          <c:smooth val="1"/>
          <c:extLst>
            <c:ext xmlns:c16="http://schemas.microsoft.com/office/drawing/2014/chart" uri="{C3380CC4-5D6E-409C-BE32-E72D297353CC}">
              <c16:uniqueId val="{00000004-3F3E-4BEF-A40F-E90482AD10A2}"/>
            </c:ext>
          </c:extLst>
        </c:ser>
        <c:ser>
          <c:idx val="12"/>
          <c:order val="5"/>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metric!$Q$18:$Q$28</c:f>
              <c:numCache>
                <c:formatCode>_(* #,##0.00_);_(* \(#,##0.00\);_(* "-"??_);_(@_)</c:formatCode>
                <c:ptCount val="11"/>
                <c:pt idx="0">
                  <c:v>711.19999999999993</c:v>
                </c:pt>
                <c:pt idx="1">
                  <c:v>533.4</c:v>
                </c:pt>
                <c:pt idx="2">
                  <c:v>355.59999999999997</c:v>
                </c:pt>
                <c:pt idx="3">
                  <c:v>177.79999999999998</c:v>
                </c:pt>
              </c:numCache>
            </c:numRef>
          </c:yVal>
          <c:smooth val="1"/>
          <c:extLst>
            <c:ext xmlns:c16="http://schemas.microsoft.com/office/drawing/2014/chart" uri="{C3380CC4-5D6E-409C-BE32-E72D297353CC}">
              <c16:uniqueId val="{00000005-3F3E-4BEF-A40F-E90482AD10A2}"/>
            </c:ext>
          </c:extLst>
        </c:ser>
        <c:ser>
          <c:idx val="13"/>
          <c:order val="6"/>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metric!$R$18:$R$28</c:f>
              <c:numCache>
                <c:formatCode>_(* #,##0.00_);_(* \(#,##0.00\);_(* "-"??_);_(@_)</c:formatCode>
                <c:ptCount val="11"/>
                <c:pt idx="0">
                  <c:v>114.3</c:v>
                </c:pt>
              </c:numCache>
            </c:numRef>
          </c:yVal>
          <c:smooth val="1"/>
          <c:extLst>
            <c:ext xmlns:c16="http://schemas.microsoft.com/office/drawing/2014/chart" uri="{C3380CC4-5D6E-409C-BE32-E72D297353CC}">
              <c16:uniqueId val="{00000006-3F3E-4BEF-A40F-E90482AD10A2}"/>
            </c:ext>
          </c:extLst>
        </c:ser>
        <c:ser>
          <c:idx val="0"/>
          <c:order val="7"/>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metric!$L$18:$L$28</c:f>
              <c:numCache>
                <c:formatCode>_(* #,##0.00_);_(* \(#,##0.00\);_(* "-"??_);_(@_)</c:formatCode>
                <c:ptCount val="11"/>
                <c:pt idx="0">
                  <c:v>1828.8</c:v>
                </c:pt>
                <c:pt idx="1">
                  <c:v>1828.8</c:v>
                </c:pt>
                <c:pt idx="2">
                  <c:v>1803.3999999999999</c:v>
                </c:pt>
                <c:pt idx="3">
                  <c:v>1752.6</c:v>
                </c:pt>
                <c:pt idx="4">
                  <c:v>1638.3</c:v>
                </c:pt>
                <c:pt idx="5">
                  <c:v>1371.6</c:v>
                </c:pt>
                <c:pt idx="6">
                  <c:v>711.19999999999993</c:v>
                </c:pt>
              </c:numCache>
            </c:numRef>
          </c:yVal>
          <c:smooth val="1"/>
          <c:extLst>
            <c:ext xmlns:c16="http://schemas.microsoft.com/office/drawing/2014/chart" uri="{C3380CC4-5D6E-409C-BE32-E72D297353CC}">
              <c16:uniqueId val="{00000007-3F3E-4BEF-A40F-E90482AD10A2}"/>
            </c:ext>
          </c:extLst>
        </c:ser>
        <c:ser>
          <c:idx val="1"/>
          <c:order val="8"/>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metric!$M$18:$M$28</c:f>
              <c:numCache>
                <c:formatCode>_(* #,##0.00_);_(* \(#,##0.00\);_(* "-"??_);_(@_)</c:formatCode>
                <c:ptCount val="11"/>
                <c:pt idx="0">
                  <c:v>1752.6</c:v>
                </c:pt>
                <c:pt idx="1">
                  <c:v>1739.8999999999999</c:v>
                </c:pt>
                <c:pt idx="2">
                  <c:v>1701.8</c:v>
                </c:pt>
                <c:pt idx="3">
                  <c:v>1651</c:v>
                </c:pt>
                <c:pt idx="4">
                  <c:v>1524</c:v>
                </c:pt>
                <c:pt idx="5">
                  <c:v>1219.1999999999998</c:v>
                </c:pt>
                <c:pt idx="6">
                  <c:v>457.2</c:v>
                </c:pt>
              </c:numCache>
            </c:numRef>
          </c:yVal>
          <c:smooth val="1"/>
          <c:extLst>
            <c:ext xmlns:c16="http://schemas.microsoft.com/office/drawing/2014/chart" uri="{C3380CC4-5D6E-409C-BE32-E72D297353CC}">
              <c16:uniqueId val="{00000008-3F3E-4BEF-A40F-E90482AD10A2}"/>
            </c:ext>
          </c:extLst>
        </c:ser>
        <c:ser>
          <c:idx val="2"/>
          <c:order val="9"/>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metric!$N$18:$N$28</c:f>
              <c:numCache>
                <c:formatCode>_(* #,##0.00_);_(* \(#,##0.00\);_(* "-"??_);_(@_)</c:formatCode>
                <c:ptCount val="11"/>
                <c:pt idx="0">
                  <c:v>1651</c:v>
                </c:pt>
                <c:pt idx="1">
                  <c:v>1600.1999999999998</c:v>
                </c:pt>
                <c:pt idx="2">
                  <c:v>1524</c:v>
                </c:pt>
                <c:pt idx="3">
                  <c:v>1409.6999999999998</c:v>
                </c:pt>
                <c:pt idx="4">
                  <c:v>1231.8999999999999</c:v>
                </c:pt>
                <c:pt idx="5">
                  <c:v>901.69999999999993</c:v>
                </c:pt>
                <c:pt idx="6">
                  <c:v>228.6</c:v>
                </c:pt>
              </c:numCache>
            </c:numRef>
          </c:yVal>
          <c:smooth val="1"/>
          <c:extLst>
            <c:ext xmlns:c16="http://schemas.microsoft.com/office/drawing/2014/chart" uri="{C3380CC4-5D6E-409C-BE32-E72D297353CC}">
              <c16:uniqueId val="{00000009-3F3E-4BEF-A40F-E90482AD10A2}"/>
            </c:ext>
          </c:extLst>
        </c:ser>
        <c:ser>
          <c:idx val="3"/>
          <c:order val="10"/>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metric!$O$18:$O$28</c:f>
              <c:numCache>
                <c:formatCode>_(* #,##0.00_);_(* \(#,##0.00\);_(* "-"??_);_(@_)</c:formatCode>
                <c:ptCount val="11"/>
                <c:pt idx="0">
                  <c:v>1447.8</c:v>
                </c:pt>
                <c:pt idx="1">
                  <c:v>1371.6</c:v>
                </c:pt>
                <c:pt idx="2">
                  <c:v>1244.5999999999999</c:v>
                </c:pt>
                <c:pt idx="3">
                  <c:v>1092.2</c:v>
                </c:pt>
                <c:pt idx="4">
                  <c:v>863.59999999999991</c:v>
                </c:pt>
                <c:pt idx="5">
                  <c:v>533.4</c:v>
                </c:pt>
                <c:pt idx="6">
                  <c:v>25.4</c:v>
                </c:pt>
              </c:numCache>
            </c:numRef>
          </c:yVal>
          <c:smooth val="1"/>
          <c:extLst>
            <c:ext xmlns:c16="http://schemas.microsoft.com/office/drawing/2014/chart" uri="{C3380CC4-5D6E-409C-BE32-E72D297353CC}">
              <c16:uniqueId val="{0000000A-3F3E-4BEF-A40F-E90482AD10A2}"/>
            </c:ext>
          </c:extLst>
        </c:ser>
        <c:ser>
          <c:idx val="4"/>
          <c:order val="11"/>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metric!$P$18:$P$28</c:f>
              <c:numCache>
                <c:formatCode>_(* #,##0.00_);_(* \(#,##0.00\);_(* "-"??_);_(@_)</c:formatCode>
                <c:ptCount val="11"/>
                <c:pt idx="0">
                  <c:v>1143</c:v>
                </c:pt>
                <c:pt idx="1">
                  <c:v>990.59999999999991</c:v>
                </c:pt>
                <c:pt idx="2">
                  <c:v>838.19999999999993</c:v>
                </c:pt>
                <c:pt idx="3">
                  <c:v>660.4</c:v>
                </c:pt>
                <c:pt idx="4">
                  <c:v>431.79999999999995</c:v>
                </c:pt>
                <c:pt idx="5">
                  <c:v>177.79999999999998</c:v>
                </c:pt>
              </c:numCache>
            </c:numRef>
          </c:yVal>
          <c:smooth val="1"/>
          <c:extLst>
            <c:ext xmlns:c16="http://schemas.microsoft.com/office/drawing/2014/chart" uri="{C3380CC4-5D6E-409C-BE32-E72D297353CC}">
              <c16:uniqueId val="{0000000B-3F3E-4BEF-A40F-E90482AD10A2}"/>
            </c:ext>
          </c:extLst>
        </c:ser>
        <c:ser>
          <c:idx val="5"/>
          <c:order val="12"/>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metric!$Q$18:$Q$28</c:f>
              <c:numCache>
                <c:formatCode>_(* #,##0.00_);_(* \(#,##0.00\);_(* "-"??_);_(@_)</c:formatCode>
                <c:ptCount val="11"/>
                <c:pt idx="0">
                  <c:v>711.19999999999993</c:v>
                </c:pt>
                <c:pt idx="1">
                  <c:v>533.4</c:v>
                </c:pt>
                <c:pt idx="2">
                  <c:v>355.59999999999997</c:v>
                </c:pt>
                <c:pt idx="3">
                  <c:v>177.79999999999998</c:v>
                </c:pt>
              </c:numCache>
            </c:numRef>
          </c:yVal>
          <c:smooth val="1"/>
          <c:extLst>
            <c:ext xmlns:c16="http://schemas.microsoft.com/office/drawing/2014/chart" uri="{C3380CC4-5D6E-409C-BE32-E72D297353CC}">
              <c16:uniqueId val="{0000000C-3F3E-4BEF-A40F-E90482AD10A2}"/>
            </c:ext>
          </c:extLst>
        </c:ser>
        <c:ser>
          <c:idx val="6"/>
          <c:order val="13"/>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metric!$R$18:$R$28</c:f>
              <c:numCache>
                <c:formatCode>_(* #,##0.00_);_(* \(#,##0.00\);_(* "-"??_);_(@_)</c:formatCode>
                <c:ptCount val="11"/>
                <c:pt idx="0">
                  <c:v>114.3</c:v>
                </c:pt>
              </c:numCache>
            </c:numRef>
          </c:yVal>
          <c:smooth val="1"/>
          <c:extLst>
            <c:ext xmlns:c16="http://schemas.microsoft.com/office/drawing/2014/chart" uri="{C3380CC4-5D6E-409C-BE32-E72D297353CC}">
              <c16:uniqueId val="{0000000D-3F3E-4BEF-A40F-E90482AD10A2}"/>
            </c:ext>
          </c:extLst>
        </c:ser>
        <c:dLbls>
          <c:showLegendKey val="0"/>
          <c:showVal val="0"/>
          <c:showCatName val="0"/>
          <c:showSerName val="0"/>
          <c:showPercent val="0"/>
          <c:showBubbleSize val="0"/>
        </c:dLbls>
        <c:axId val="530161120"/>
        <c:axId val="530165712"/>
      </c:scatterChart>
      <c:valAx>
        <c:axId val="530161120"/>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165712"/>
        <c:crosses val="autoZero"/>
        <c:crossBetween val="midCat"/>
      </c:valAx>
      <c:valAx>
        <c:axId val="530165712"/>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161120"/>
        <c:crosses val="autoZero"/>
        <c:crossBetween val="midCat"/>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714371724885333E-2"/>
          <c:y val="7.8276086671979689E-2"/>
          <c:w val="0.92679335435603361"/>
          <c:h val="0.83222440436916978"/>
        </c:manualLayout>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metric!$F$4:$V$4</c:f>
              <c:numCache>
                <c:formatCode>_(* #,##0.00_);_(* \(#,##0.00\);_(* "-"??_);_(@_)</c:formatCode>
                <c:ptCount val="17"/>
                <c:pt idx="0">
                  <c:v>0</c:v>
                </c:pt>
                <c:pt idx="1">
                  <c:v>723.9</c:v>
                </c:pt>
                <c:pt idx="2">
                  <c:v>1695.4499999999998</c:v>
                </c:pt>
                <c:pt idx="3">
                  <c:v>2667</c:v>
                </c:pt>
                <c:pt idx="4">
                  <c:v>3638.5499999999997</c:v>
                </c:pt>
                <c:pt idx="5">
                  <c:v>4610.0999999999995</c:v>
                </c:pt>
                <c:pt idx="6">
                  <c:v>5581.65</c:v>
                </c:pt>
                <c:pt idx="7">
                  <c:v>6553.2</c:v>
                </c:pt>
                <c:pt idx="8">
                  <c:v>7524.75</c:v>
                </c:pt>
                <c:pt idx="9">
                  <c:v>8496.2999999999993</c:v>
                </c:pt>
                <c:pt idx="10">
                  <c:v>9467.85</c:v>
                </c:pt>
                <c:pt idx="11">
                  <c:v>10439.4</c:v>
                </c:pt>
                <c:pt idx="12">
                  <c:v>11772.9</c:v>
                </c:pt>
              </c:numCache>
            </c:numRef>
          </c:xVal>
          <c:yVal>
            <c:numRef>
              <c:f>metric!$F$18:$V$18</c:f>
              <c:numCache>
                <c:formatCode>_(* #,##0.00_);_(* \(#,##0.00\);_(* "-"??_);_(@_)</c:formatCode>
                <c:ptCount val="17"/>
                <c:pt idx="1">
                  <c:v>965.19999999999993</c:v>
                </c:pt>
                <c:pt idx="2">
                  <c:v>1422.3999999999999</c:v>
                </c:pt>
                <c:pt idx="3">
                  <c:v>1651</c:v>
                </c:pt>
                <c:pt idx="4">
                  <c:v>1752.6</c:v>
                </c:pt>
                <c:pt idx="5">
                  <c:v>1828.8</c:v>
                </c:pt>
                <c:pt idx="6">
                  <c:v>1828.8</c:v>
                </c:pt>
                <c:pt idx="7">
                  <c:v>1752.6</c:v>
                </c:pt>
                <c:pt idx="8">
                  <c:v>1651</c:v>
                </c:pt>
                <c:pt idx="9">
                  <c:v>1447.8</c:v>
                </c:pt>
                <c:pt idx="10">
                  <c:v>1143</c:v>
                </c:pt>
                <c:pt idx="11">
                  <c:v>711.19999999999993</c:v>
                </c:pt>
                <c:pt idx="12">
                  <c:v>114.3</c:v>
                </c:pt>
              </c:numCache>
            </c:numRef>
          </c:yVal>
          <c:smooth val="1"/>
          <c:extLst>
            <c:ext xmlns:c16="http://schemas.microsoft.com/office/drawing/2014/chart" uri="{C3380CC4-5D6E-409C-BE32-E72D297353CC}">
              <c16:uniqueId val="{00000000-29EC-4FCA-A0D0-89D8EEAF44C4}"/>
            </c:ext>
          </c:extLst>
        </c:ser>
        <c: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metric!$F$4:$V$4</c:f>
              <c:numCache>
                <c:formatCode>_(* #,##0.00_);_(* \(#,##0.00\);_(* "-"??_);_(@_)</c:formatCode>
                <c:ptCount val="17"/>
                <c:pt idx="0">
                  <c:v>0</c:v>
                </c:pt>
                <c:pt idx="1">
                  <c:v>723.9</c:v>
                </c:pt>
                <c:pt idx="2">
                  <c:v>1695.4499999999998</c:v>
                </c:pt>
                <c:pt idx="3">
                  <c:v>2667</c:v>
                </c:pt>
                <c:pt idx="4">
                  <c:v>3638.5499999999997</c:v>
                </c:pt>
                <c:pt idx="5">
                  <c:v>4610.0999999999995</c:v>
                </c:pt>
                <c:pt idx="6">
                  <c:v>5581.65</c:v>
                </c:pt>
                <c:pt idx="7">
                  <c:v>6553.2</c:v>
                </c:pt>
                <c:pt idx="8">
                  <c:v>7524.75</c:v>
                </c:pt>
                <c:pt idx="9">
                  <c:v>8496.2999999999993</c:v>
                </c:pt>
                <c:pt idx="10">
                  <c:v>9467.85</c:v>
                </c:pt>
                <c:pt idx="11">
                  <c:v>10439.4</c:v>
                </c:pt>
                <c:pt idx="12">
                  <c:v>11772.9</c:v>
                </c:pt>
              </c:numCache>
            </c:numRef>
          </c:xVal>
          <c:yVal>
            <c:numRef>
              <c:f>metric!$F$19:$V$19</c:f>
              <c:numCache>
                <c:formatCode>_(* #,##0.00_);_(* \(#,##0.00\);_(* "-"??_);_(@_)</c:formatCode>
                <c:ptCount val="17"/>
                <c:pt idx="0">
                  <c:v>0</c:v>
                </c:pt>
                <c:pt idx="1">
                  <c:v>990.59999999999991</c:v>
                </c:pt>
                <c:pt idx="2">
                  <c:v>1447.8</c:v>
                </c:pt>
                <c:pt idx="3">
                  <c:v>1651</c:v>
                </c:pt>
                <c:pt idx="4">
                  <c:v>1778</c:v>
                </c:pt>
                <c:pt idx="5">
                  <c:v>1828.8</c:v>
                </c:pt>
                <c:pt idx="6">
                  <c:v>1828.8</c:v>
                </c:pt>
                <c:pt idx="7">
                  <c:v>1739.8999999999999</c:v>
                </c:pt>
                <c:pt idx="8">
                  <c:v>1600.1999999999998</c:v>
                </c:pt>
                <c:pt idx="9">
                  <c:v>1371.6</c:v>
                </c:pt>
                <c:pt idx="10">
                  <c:v>990.59999999999991</c:v>
                </c:pt>
                <c:pt idx="11">
                  <c:v>533.4</c:v>
                </c:pt>
              </c:numCache>
            </c:numRef>
          </c:yVal>
          <c:smooth val="1"/>
          <c:extLst>
            <c:ext xmlns:c16="http://schemas.microsoft.com/office/drawing/2014/chart" uri="{C3380CC4-5D6E-409C-BE32-E72D297353CC}">
              <c16:uniqueId val="{00000001-29EC-4FCA-A0D0-89D8EEAF44C4}"/>
            </c:ext>
          </c:extLst>
        </c:ser>
        <c:ser>
          <c:idx val="2"/>
          <c:order val="2"/>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metric!$F$4:$V$4</c:f>
              <c:numCache>
                <c:formatCode>_(* #,##0.00_);_(* \(#,##0.00\);_(* "-"??_);_(@_)</c:formatCode>
                <c:ptCount val="17"/>
                <c:pt idx="0">
                  <c:v>0</c:v>
                </c:pt>
                <c:pt idx="1">
                  <c:v>723.9</c:v>
                </c:pt>
                <c:pt idx="2">
                  <c:v>1695.4499999999998</c:v>
                </c:pt>
                <c:pt idx="3">
                  <c:v>2667</c:v>
                </c:pt>
                <c:pt idx="4">
                  <c:v>3638.5499999999997</c:v>
                </c:pt>
                <c:pt idx="5">
                  <c:v>4610.0999999999995</c:v>
                </c:pt>
                <c:pt idx="6">
                  <c:v>5581.65</c:v>
                </c:pt>
                <c:pt idx="7">
                  <c:v>6553.2</c:v>
                </c:pt>
                <c:pt idx="8">
                  <c:v>7524.75</c:v>
                </c:pt>
                <c:pt idx="9">
                  <c:v>8496.2999999999993</c:v>
                </c:pt>
                <c:pt idx="10">
                  <c:v>9467.85</c:v>
                </c:pt>
                <c:pt idx="11">
                  <c:v>10439.4</c:v>
                </c:pt>
                <c:pt idx="12">
                  <c:v>11772.9</c:v>
                </c:pt>
              </c:numCache>
            </c:numRef>
          </c:xVal>
          <c:yVal>
            <c:numRef>
              <c:f>metric!$F$20:$V$20</c:f>
              <c:numCache>
                <c:formatCode>_(* #,##0.00_);_(* \(#,##0.00\);_(* "-"??_);_(@_)</c:formatCode>
                <c:ptCount val="17"/>
                <c:pt idx="1">
                  <c:v>965.19999999999993</c:v>
                </c:pt>
                <c:pt idx="2">
                  <c:v>1422.3999999999999</c:v>
                </c:pt>
                <c:pt idx="3">
                  <c:v>1638.3</c:v>
                </c:pt>
                <c:pt idx="4">
                  <c:v>1778</c:v>
                </c:pt>
                <c:pt idx="5">
                  <c:v>1828.8</c:v>
                </c:pt>
                <c:pt idx="6">
                  <c:v>1803.3999999999999</c:v>
                </c:pt>
                <c:pt idx="7">
                  <c:v>1701.8</c:v>
                </c:pt>
                <c:pt idx="8">
                  <c:v>1524</c:v>
                </c:pt>
                <c:pt idx="9">
                  <c:v>1244.5999999999999</c:v>
                </c:pt>
                <c:pt idx="10">
                  <c:v>838.19999999999993</c:v>
                </c:pt>
                <c:pt idx="11">
                  <c:v>355.59999999999997</c:v>
                </c:pt>
              </c:numCache>
            </c:numRef>
          </c:yVal>
          <c:smooth val="1"/>
          <c:extLst>
            <c:ext xmlns:c16="http://schemas.microsoft.com/office/drawing/2014/chart" uri="{C3380CC4-5D6E-409C-BE32-E72D297353CC}">
              <c16:uniqueId val="{00000002-29EC-4FCA-A0D0-89D8EEAF44C4}"/>
            </c:ext>
          </c:extLst>
        </c:ser>
        <c:ser>
          <c:idx val="3"/>
          <c:order val="3"/>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metric!$F$4:$V$4</c:f>
              <c:numCache>
                <c:formatCode>_(* #,##0.00_);_(* \(#,##0.00\);_(* "-"??_);_(@_)</c:formatCode>
                <c:ptCount val="17"/>
                <c:pt idx="0">
                  <c:v>0</c:v>
                </c:pt>
                <c:pt idx="1">
                  <c:v>723.9</c:v>
                </c:pt>
                <c:pt idx="2">
                  <c:v>1695.4499999999998</c:v>
                </c:pt>
                <c:pt idx="3">
                  <c:v>2667</c:v>
                </c:pt>
                <c:pt idx="4">
                  <c:v>3638.5499999999997</c:v>
                </c:pt>
                <c:pt idx="5">
                  <c:v>4610.0999999999995</c:v>
                </c:pt>
                <c:pt idx="6">
                  <c:v>5581.65</c:v>
                </c:pt>
                <c:pt idx="7">
                  <c:v>6553.2</c:v>
                </c:pt>
                <c:pt idx="8">
                  <c:v>7524.75</c:v>
                </c:pt>
                <c:pt idx="9">
                  <c:v>8496.2999999999993</c:v>
                </c:pt>
                <c:pt idx="10">
                  <c:v>9467.85</c:v>
                </c:pt>
                <c:pt idx="11">
                  <c:v>10439.4</c:v>
                </c:pt>
                <c:pt idx="12">
                  <c:v>11772.9</c:v>
                </c:pt>
              </c:numCache>
            </c:numRef>
          </c:xVal>
          <c:yVal>
            <c:numRef>
              <c:f>metric!$F$21:$V$21</c:f>
              <c:numCache>
                <c:formatCode>_(* #,##0.00_);_(* \(#,##0.00\);_(* "-"??_);_(@_)</c:formatCode>
                <c:ptCount val="17"/>
                <c:pt idx="1">
                  <c:v>685.8</c:v>
                </c:pt>
                <c:pt idx="2">
                  <c:v>1295.3999999999999</c:v>
                </c:pt>
                <c:pt idx="3">
                  <c:v>1574.8</c:v>
                </c:pt>
                <c:pt idx="4">
                  <c:v>1727.1999999999998</c:v>
                </c:pt>
                <c:pt idx="5">
                  <c:v>1803.3999999999999</c:v>
                </c:pt>
                <c:pt idx="6">
                  <c:v>1752.6</c:v>
                </c:pt>
                <c:pt idx="7">
                  <c:v>1651</c:v>
                </c:pt>
                <c:pt idx="8">
                  <c:v>1409.6999999999998</c:v>
                </c:pt>
                <c:pt idx="9">
                  <c:v>1092.2</c:v>
                </c:pt>
                <c:pt idx="10">
                  <c:v>660.4</c:v>
                </c:pt>
                <c:pt idx="11">
                  <c:v>177.79999999999998</c:v>
                </c:pt>
              </c:numCache>
            </c:numRef>
          </c:yVal>
          <c:smooth val="1"/>
          <c:extLst>
            <c:ext xmlns:c16="http://schemas.microsoft.com/office/drawing/2014/chart" uri="{C3380CC4-5D6E-409C-BE32-E72D297353CC}">
              <c16:uniqueId val="{00000003-29EC-4FCA-A0D0-89D8EEAF44C4}"/>
            </c:ext>
          </c:extLst>
        </c:ser>
        <c:ser>
          <c:idx val="4"/>
          <c:order val="4"/>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metric!$F$4:$V$4</c:f>
              <c:numCache>
                <c:formatCode>_(* #,##0.00_);_(* \(#,##0.00\);_(* "-"??_);_(@_)</c:formatCode>
                <c:ptCount val="17"/>
                <c:pt idx="0">
                  <c:v>0</c:v>
                </c:pt>
                <c:pt idx="1">
                  <c:v>723.9</c:v>
                </c:pt>
                <c:pt idx="2">
                  <c:v>1695.4499999999998</c:v>
                </c:pt>
                <c:pt idx="3">
                  <c:v>2667</c:v>
                </c:pt>
                <c:pt idx="4">
                  <c:v>3638.5499999999997</c:v>
                </c:pt>
                <c:pt idx="5">
                  <c:v>4610.0999999999995</c:v>
                </c:pt>
                <c:pt idx="6">
                  <c:v>5581.65</c:v>
                </c:pt>
                <c:pt idx="7">
                  <c:v>6553.2</c:v>
                </c:pt>
                <c:pt idx="8">
                  <c:v>7524.75</c:v>
                </c:pt>
                <c:pt idx="9">
                  <c:v>8496.2999999999993</c:v>
                </c:pt>
                <c:pt idx="10">
                  <c:v>9467.85</c:v>
                </c:pt>
                <c:pt idx="11">
                  <c:v>10439.4</c:v>
                </c:pt>
                <c:pt idx="12">
                  <c:v>11772.9</c:v>
                </c:pt>
              </c:numCache>
            </c:numRef>
          </c:xVal>
          <c:yVal>
            <c:numRef>
              <c:f>metric!$F$22:$V$22</c:f>
              <c:numCache>
                <c:formatCode>_(* #,##0.00_);_(* \(#,##0.00\);_(* "-"??_);_(@_)</c:formatCode>
                <c:ptCount val="17"/>
                <c:pt idx="2">
                  <c:v>965.19999999999993</c:v>
                </c:pt>
                <c:pt idx="3">
                  <c:v>1371.6</c:v>
                </c:pt>
                <c:pt idx="4">
                  <c:v>1600.1999999999998</c:v>
                </c:pt>
                <c:pt idx="5">
                  <c:v>1676.3999999999999</c:v>
                </c:pt>
                <c:pt idx="6">
                  <c:v>1638.3</c:v>
                </c:pt>
                <c:pt idx="7">
                  <c:v>1524</c:v>
                </c:pt>
                <c:pt idx="8">
                  <c:v>1231.8999999999999</c:v>
                </c:pt>
                <c:pt idx="9">
                  <c:v>863.59999999999991</c:v>
                </c:pt>
                <c:pt idx="10">
                  <c:v>431.79999999999995</c:v>
                </c:pt>
                <c:pt idx="13" formatCode="General">
                  <c:v>0</c:v>
                </c:pt>
              </c:numCache>
            </c:numRef>
          </c:yVal>
          <c:smooth val="1"/>
          <c:extLst>
            <c:ext xmlns:c16="http://schemas.microsoft.com/office/drawing/2014/chart" uri="{C3380CC4-5D6E-409C-BE32-E72D297353CC}">
              <c16:uniqueId val="{00000004-29EC-4FCA-A0D0-89D8EEAF44C4}"/>
            </c:ext>
          </c:extLst>
        </c:ser>
        <c:ser>
          <c:idx val="5"/>
          <c:order val="5"/>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metric!$F$4:$V$4</c:f>
              <c:numCache>
                <c:formatCode>_(* #,##0.00_);_(* \(#,##0.00\);_(* "-"??_);_(@_)</c:formatCode>
                <c:ptCount val="17"/>
                <c:pt idx="0">
                  <c:v>0</c:v>
                </c:pt>
                <c:pt idx="1">
                  <c:v>723.9</c:v>
                </c:pt>
                <c:pt idx="2">
                  <c:v>1695.4499999999998</c:v>
                </c:pt>
                <c:pt idx="3">
                  <c:v>2667</c:v>
                </c:pt>
                <c:pt idx="4">
                  <c:v>3638.5499999999997</c:v>
                </c:pt>
                <c:pt idx="5">
                  <c:v>4610.0999999999995</c:v>
                </c:pt>
                <c:pt idx="6">
                  <c:v>5581.65</c:v>
                </c:pt>
                <c:pt idx="7">
                  <c:v>6553.2</c:v>
                </c:pt>
                <c:pt idx="8">
                  <c:v>7524.75</c:v>
                </c:pt>
                <c:pt idx="9">
                  <c:v>8496.2999999999993</c:v>
                </c:pt>
                <c:pt idx="10">
                  <c:v>9467.85</c:v>
                </c:pt>
                <c:pt idx="11">
                  <c:v>10439.4</c:v>
                </c:pt>
                <c:pt idx="12">
                  <c:v>11772.9</c:v>
                </c:pt>
              </c:numCache>
            </c:numRef>
          </c:xVal>
          <c:yVal>
            <c:numRef>
              <c:f>metric!$F$23:$V$23</c:f>
              <c:numCache>
                <c:formatCode>_(* #,##0.00_);_(* \(#,##0.00\);_(* "-"??_);_(@_)</c:formatCode>
                <c:ptCount val="17"/>
                <c:pt idx="2">
                  <c:v>304.79999999999995</c:v>
                </c:pt>
                <c:pt idx="3">
                  <c:v>965.19999999999993</c:v>
                </c:pt>
                <c:pt idx="4">
                  <c:v>1270</c:v>
                </c:pt>
                <c:pt idx="5">
                  <c:v>1397</c:v>
                </c:pt>
                <c:pt idx="6">
                  <c:v>1371.6</c:v>
                </c:pt>
                <c:pt idx="7">
                  <c:v>1219.1999999999998</c:v>
                </c:pt>
                <c:pt idx="8">
                  <c:v>901.69999999999993</c:v>
                </c:pt>
                <c:pt idx="9">
                  <c:v>533.4</c:v>
                </c:pt>
                <c:pt idx="10">
                  <c:v>177.79999999999998</c:v>
                </c:pt>
              </c:numCache>
            </c:numRef>
          </c:yVal>
          <c:smooth val="1"/>
          <c:extLst>
            <c:ext xmlns:c16="http://schemas.microsoft.com/office/drawing/2014/chart" uri="{C3380CC4-5D6E-409C-BE32-E72D297353CC}">
              <c16:uniqueId val="{00000005-29EC-4FCA-A0D0-89D8EEAF44C4}"/>
            </c:ext>
          </c:extLst>
        </c:ser>
        <c:ser>
          <c:idx val="6"/>
          <c:order val="6"/>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metric!$F$4:$V$4</c:f>
              <c:numCache>
                <c:formatCode>_(* #,##0.00_);_(* \(#,##0.00\);_(* "-"??_);_(@_)</c:formatCode>
                <c:ptCount val="17"/>
                <c:pt idx="0">
                  <c:v>0</c:v>
                </c:pt>
                <c:pt idx="1">
                  <c:v>723.9</c:v>
                </c:pt>
                <c:pt idx="2">
                  <c:v>1695.4499999999998</c:v>
                </c:pt>
                <c:pt idx="3">
                  <c:v>2667</c:v>
                </c:pt>
                <c:pt idx="4">
                  <c:v>3638.5499999999997</c:v>
                </c:pt>
                <c:pt idx="5">
                  <c:v>4610.0999999999995</c:v>
                </c:pt>
                <c:pt idx="6">
                  <c:v>5581.65</c:v>
                </c:pt>
                <c:pt idx="7">
                  <c:v>6553.2</c:v>
                </c:pt>
                <c:pt idx="8">
                  <c:v>7524.75</c:v>
                </c:pt>
                <c:pt idx="9">
                  <c:v>8496.2999999999993</c:v>
                </c:pt>
                <c:pt idx="10">
                  <c:v>9467.85</c:v>
                </c:pt>
                <c:pt idx="11">
                  <c:v>10439.4</c:v>
                </c:pt>
                <c:pt idx="12">
                  <c:v>11772.9</c:v>
                </c:pt>
              </c:numCache>
            </c:numRef>
          </c:xVal>
          <c:yVal>
            <c:numRef>
              <c:f>metric!$F$24:$V$24</c:f>
              <c:numCache>
                <c:formatCode>_(* #,##0.00_);_(* \(#,##0.00\);_(* "-"??_);_(@_)</c:formatCode>
                <c:ptCount val="17"/>
                <c:pt idx="3">
                  <c:v>25.4</c:v>
                </c:pt>
                <c:pt idx="4">
                  <c:v>406.4</c:v>
                </c:pt>
                <c:pt idx="5">
                  <c:v>685.8</c:v>
                </c:pt>
                <c:pt idx="6">
                  <c:v>711.19999999999993</c:v>
                </c:pt>
                <c:pt idx="7">
                  <c:v>457.2</c:v>
                </c:pt>
                <c:pt idx="8">
                  <c:v>228.6</c:v>
                </c:pt>
                <c:pt idx="9">
                  <c:v>25.4</c:v>
                </c:pt>
              </c:numCache>
            </c:numRef>
          </c:yVal>
          <c:smooth val="1"/>
          <c:extLst>
            <c:ext xmlns:c16="http://schemas.microsoft.com/office/drawing/2014/chart" uri="{C3380CC4-5D6E-409C-BE32-E72D297353CC}">
              <c16:uniqueId val="{00000006-29EC-4FCA-A0D0-89D8EEAF44C4}"/>
            </c:ext>
          </c:extLst>
        </c:ser>
        <c:ser>
          <c:idx val="7"/>
          <c:order val="7"/>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metric!$F$4:$V$4</c:f>
              <c:numCache>
                <c:formatCode>_(* #,##0.00_);_(* \(#,##0.00\);_(* "-"??_);_(@_)</c:formatCode>
                <c:ptCount val="17"/>
                <c:pt idx="0">
                  <c:v>0</c:v>
                </c:pt>
                <c:pt idx="1">
                  <c:v>723.9</c:v>
                </c:pt>
                <c:pt idx="2">
                  <c:v>1695.4499999999998</c:v>
                </c:pt>
                <c:pt idx="3">
                  <c:v>2667</c:v>
                </c:pt>
                <c:pt idx="4">
                  <c:v>3638.5499999999997</c:v>
                </c:pt>
                <c:pt idx="5">
                  <c:v>4610.0999999999995</c:v>
                </c:pt>
                <c:pt idx="6">
                  <c:v>5581.65</c:v>
                </c:pt>
                <c:pt idx="7">
                  <c:v>6553.2</c:v>
                </c:pt>
                <c:pt idx="8">
                  <c:v>7524.75</c:v>
                </c:pt>
                <c:pt idx="9">
                  <c:v>8496.2999999999993</c:v>
                </c:pt>
                <c:pt idx="10">
                  <c:v>9467.85</c:v>
                </c:pt>
                <c:pt idx="11">
                  <c:v>10439.4</c:v>
                </c:pt>
                <c:pt idx="12">
                  <c:v>11772.9</c:v>
                </c:pt>
              </c:numCache>
            </c:numRef>
          </c:xVal>
          <c:yVal>
            <c:numRef>
              <c:f>metric!$F$25:$V$25</c:f>
              <c:numCache>
                <c:formatCode>General</c:formatCode>
                <c:ptCount val="17"/>
              </c:numCache>
            </c:numRef>
          </c:yVal>
          <c:smooth val="1"/>
          <c:extLst>
            <c:ext xmlns:c16="http://schemas.microsoft.com/office/drawing/2014/chart" uri="{C3380CC4-5D6E-409C-BE32-E72D297353CC}">
              <c16:uniqueId val="{00000007-29EC-4FCA-A0D0-89D8EEAF44C4}"/>
            </c:ext>
          </c:extLst>
        </c:ser>
        <c:ser>
          <c:idx val="8"/>
          <c:order val="8"/>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metric!$F$4:$V$4</c:f>
              <c:numCache>
                <c:formatCode>_(* #,##0.00_);_(* \(#,##0.00\);_(* "-"??_);_(@_)</c:formatCode>
                <c:ptCount val="17"/>
                <c:pt idx="0">
                  <c:v>0</c:v>
                </c:pt>
                <c:pt idx="1">
                  <c:v>723.9</c:v>
                </c:pt>
                <c:pt idx="2">
                  <c:v>1695.4499999999998</c:v>
                </c:pt>
                <c:pt idx="3">
                  <c:v>2667</c:v>
                </c:pt>
                <c:pt idx="4">
                  <c:v>3638.5499999999997</c:v>
                </c:pt>
                <c:pt idx="5">
                  <c:v>4610.0999999999995</c:v>
                </c:pt>
                <c:pt idx="6">
                  <c:v>5581.65</c:v>
                </c:pt>
                <c:pt idx="7">
                  <c:v>6553.2</c:v>
                </c:pt>
                <c:pt idx="8">
                  <c:v>7524.75</c:v>
                </c:pt>
                <c:pt idx="9">
                  <c:v>8496.2999999999993</c:v>
                </c:pt>
                <c:pt idx="10">
                  <c:v>9467.85</c:v>
                </c:pt>
                <c:pt idx="11">
                  <c:v>10439.4</c:v>
                </c:pt>
                <c:pt idx="12">
                  <c:v>11772.9</c:v>
                </c:pt>
              </c:numCache>
            </c:numRef>
          </c:xVal>
          <c:yVal>
            <c:numRef>
              <c:f>metric!$F$26:$V$26</c:f>
              <c:numCache>
                <c:formatCode>General</c:formatCode>
                <c:ptCount val="17"/>
              </c:numCache>
            </c:numRef>
          </c:yVal>
          <c:smooth val="1"/>
          <c:extLst>
            <c:ext xmlns:c16="http://schemas.microsoft.com/office/drawing/2014/chart" uri="{C3380CC4-5D6E-409C-BE32-E72D297353CC}">
              <c16:uniqueId val="{00000008-29EC-4FCA-A0D0-89D8EEAF44C4}"/>
            </c:ext>
          </c:extLst>
        </c:ser>
        <c:ser>
          <c:idx val="9"/>
          <c:order val="9"/>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metric!$F$4:$V$4</c:f>
              <c:numCache>
                <c:formatCode>_(* #,##0.00_);_(* \(#,##0.00\);_(* "-"??_);_(@_)</c:formatCode>
                <c:ptCount val="17"/>
                <c:pt idx="0">
                  <c:v>0</c:v>
                </c:pt>
                <c:pt idx="1">
                  <c:v>723.9</c:v>
                </c:pt>
                <c:pt idx="2">
                  <c:v>1695.4499999999998</c:v>
                </c:pt>
                <c:pt idx="3">
                  <c:v>2667</c:v>
                </c:pt>
                <c:pt idx="4">
                  <c:v>3638.5499999999997</c:v>
                </c:pt>
                <c:pt idx="5">
                  <c:v>4610.0999999999995</c:v>
                </c:pt>
                <c:pt idx="6">
                  <c:v>5581.65</c:v>
                </c:pt>
                <c:pt idx="7">
                  <c:v>6553.2</c:v>
                </c:pt>
                <c:pt idx="8">
                  <c:v>7524.75</c:v>
                </c:pt>
                <c:pt idx="9">
                  <c:v>8496.2999999999993</c:v>
                </c:pt>
                <c:pt idx="10">
                  <c:v>9467.85</c:v>
                </c:pt>
                <c:pt idx="11">
                  <c:v>10439.4</c:v>
                </c:pt>
                <c:pt idx="12">
                  <c:v>11772.9</c:v>
                </c:pt>
              </c:numCache>
            </c:numRef>
          </c:xVal>
          <c:yVal>
            <c:numRef>
              <c:f>metric!$F$27:$V$27</c:f>
              <c:numCache>
                <c:formatCode>General</c:formatCode>
                <c:ptCount val="17"/>
              </c:numCache>
            </c:numRef>
          </c:yVal>
          <c:smooth val="1"/>
          <c:extLst>
            <c:ext xmlns:c16="http://schemas.microsoft.com/office/drawing/2014/chart" uri="{C3380CC4-5D6E-409C-BE32-E72D297353CC}">
              <c16:uniqueId val="{00000009-29EC-4FCA-A0D0-89D8EEAF44C4}"/>
            </c:ext>
          </c:extLst>
        </c:ser>
        <c:ser>
          <c:idx val="10"/>
          <c:order val="10"/>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metric!$F$4:$V$4</c:f>
              <c:numCache>
                <c:formatCode>_(* #,##0.00_);_(* \(#,##0.00\);_(* "-"??_);_(@_)</c:formatCode>
                <c:ptCount val="17"/>
                <c:pt idx="0">
                  <c:v>0</c:v>
                </c:pt>
                <c:pt idx="1">
                  <c:v>723.9</c:v>
                </c:pt>
                <c:pt idx="2">
                  <c:v>1695.4499999999998</c:v>
                </c:pt>
                <c:pt idx="3">
                  <c:v>2667</c:v>
                </c:pt>
                <c:pt idx="4">
                  <c:v>3638.5499999999997</c:v>
                </c:pt>
                <c:pt idx="5">
                  <c:v>4610.0999999999995</c:v>
                </c:pt>
                <c:pt idx="6">
                  <c:v>5581.65</c:v>
                </c:pt>
                <c:pt idx="7">
                  <c:v>6553.2</c:v>
                </c:pt>
                <c:pt idx="8">
                  <c:v>7524.75</c:v>
                </c:pt>
                <c:pt idx="9">
                  <c:v>8496.2999999999993</c:v>
                </c:pt>
                <c:pt idx="10">
                  <c:v>9467.85</c:v>
                </c:pt>
                <c:pt idx="11">
                  <c:v>10439.4</c:v>
                </c:pt>
                <c:pt idx="12">
                  <c:v>11772.9</c:v>
                </c:pt>
              </c:numCache>
            </c:numRef>
          </c:xVal>
          <c:yVal>
            <c:numRef>
              <c:f>metric!$F$28:$V$28</c:f>
              <c:numCache>
                <c:formatCode>General</c:formatCode>
                <c:ptCount val="17"/>
              </c:numCache>
            </c:numRef>
          </c:yVal>
          <c:smooth val="1"/>
          <c:extLst>
            <c:ext xmlns:c16="http://schemas.microsoft.com/office/drawing/2014/chart" uri="{C3380CC4-5D6E-409C-BE32-E72D297353CC}">
              <c16:uniqueId val="{0000000A-29EC-4FCA-A0D0-89D8EEAF44C4}"/>
            </c:ext>
          </c:extLst>
        </c:ser>
        <c:dLbls>
          <c:showLegendKey val="0"/>
          <c:showVal val="0"/>
          <c:showCatName val="0"/>
          <c:showSerName val="0"/>
          <c:showPercent val="0"/>
          <c:showBubbleSize val="0"/>
        </c:dLbls>
        <c:axId val="530169648"/>
        <c:axId val="530164400"/>
      </c:scatterChart>
      <c:valAx>
        <c:axId val="530169648"/>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164400"/>
        <c:crosses val="autoZero"/>
        <c:crossBetween val="midCat"/>
      </c:valAx>
      <c:valAx>
        <c:axId val="53016440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16964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metric!$F$18:$F$28</c:f>
              <c:numCache>
                <c:formatCode>_(* #,##0.00_);_(* \(#,##0.00\);_(* "-"??_);_(@_)</c:formatCode>
                <c:ptCount val="11"/>
                <c:pt idx="1">
                  <c:v>0</c:v>
                </c:pt>
              </c:numCache>
            </c:numRef>
          </c:yVal>
          <c:smooth val="1"/>
          <c:extLst>
            <c:ext xmlns:c16="http://schemas.microsoft.com/office/drawing/2014/chart" uri="{C3380CC4-5D6E-409C-BE32-E72D297353CC}">
              <c16:uniqueId val="{00000000-05B5-4256-885E-14C08D4DB526}"/>
            </c:ext>
          </c:extLst>
        </c:ser>
        <c: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metric!$G$18:$G$28</c:f>
              <c:numCache>
                <c:formatCode>_(* #,##0.00_);_(* \(#,##0.00\);_(* "-"??_);_(@_)</c:formatCode>
                <c:ptCount val="11"/>
                <c:pt idx="0">
                  <c:v>965.19999999999993</c:v>
                </c:pt>
                <c:pt idx="1">
                  <c:v>990.59999999999991</c:v>
                </c:pt>
                <c:pt idx="2">
                  <c:v>965.19999999999993</c:v>
                </c:pt>
                <c:pt idx="3">
                  <c:v>685.8</c:v>
                </c:pt>
              </c:numCache>
            </c:numRef>
          </c:yVal>
          <c:smooth val="1"/>
          <c:extLst>
            <c:ext xmlns:c16="http://schemas.microsoft.com/office/drawing/2014/chart" uri="{C3380CC4-5D6E-409C-BE32-E72D297353CC}">
              <c16:uniqueId val="{00000001-05B5-4256-885E-14C08D4DB526}"/>
            </c:ext>
          </c:extLst>
        </c:ser>
        <c:ser>
          <c:idx val="2"/>
          <c:order val="2"/>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metric!$H$18:$H$28</c:f>
              <c:numCache>
                <c:formatCode>_(* #,##0.00_);_(* \(#,##0.00\);_(* "-"??_);_(@_)</c:formatCode>
                <c:ptCount val="11"/>
                <c:pt idx="0">
                  <c:v>1422.3999999999999</c:v>
                </c:pt>
                <c:pt idx="1">
                  <c:v>1447.8</c:v>
                </c:pt>
                <c:pt idx="2">
                  <c:v>1422.3999999999999</c:v>
                </c:pt>
                <c:pt idx="3">
                  <c:v>1295.3999999999999</c:v>
                </c:pt>
                <c:pt idx="4">
                  <c:v>965.19999999999993</c:v>
                </c:pt>
                <c:pt idx="5">
                  <c:v>304.79999999999995</c:v>
                </c:pt>
              </c:numCache>
            </c:numRef>
          </c:yVal>
          <c:smooth val="1"/>
          <c:extLst>
            <c:ext xmlns:c16="http://schemas.microsoft.com/office/drawing/2014/chart" uri="{C3380CC4-5D6E-409C-BE32-E72D297353CC}">
              <c16:uniqueId val="{00000002-05B5-4256-885E-14C08D4DB526}"/>
            </c:ext>
          </c:extLst>
        </c:ser>
        <c:ser>
          <c:idx val="3"/>
          <c:order val="3"/>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metric!$I$18:$I$28</c:f>
              <c:numCache>
                <c:formatCode>_(* #,##0.00_);_(* \(#,##0.00\);_(* "-"??_);_(@_)</c:formatCode>
                <c:ptCount val="11"/>
                <c:pt idx="0">
                  <c:v>1651</c:v>
                </c:pt>
                <c:pt idx="1">
                  <c:v>1651</c:v>
                </c:pt>
                <c:pt idx="2">
                  <c:v>1638.3</c:v>
                </c:pt>
                <c:pt idx="3">
                  <c:v>1574.8</c:v>
                </c:pt>
                <c:pt idx="4">
                  <c:v>1371.6</c:v>
                </c:pt>
                <c:pt idx="5">
                  <c:v>965.19999999999993</c:v>
                </c:pt>
                <c:pt idx="6">
                  <c:v>25.4</c:v>
                </c:pt>
              </c:numCache>
            </c:numRef>
          </c:yVal>
          <c:smooth val="1"/>
          <c:extLst>
            <c:ext xmlns:c16="http://schemas.microsoft.com/office/drawing/2014/chart" uri="{C3380CC4-5D6E-409C-BE32-E72D297353CC}">
              <c16:uniqueId val="{00000003-05B5-4256-885E-14C08D4DB526}"/>
            </c:ext>
          </c:extLst>
        </c:ser>
        <c:ser>
          <c:idx val="4"/>
          <c:order val="4"/>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metric!$J$18:$J$28</c:f>
              <c:numCache>
                <c:formatCode>_(* #,##0.00_);_(* \(#,##0.00\);_(* "-"??_);_(@_)</c:formatCode>
                <c:ptCount val="11"/>
                <c:pt idx="0">
                  <c:v>1752.6</c:v>
                </c:pt>
                <c:pt idx="1">
                  <c:v>1778</c:v>
                </c:pt>
                <c:pt idx="2">
                  <c:v>1778</c:v>
                </c:pt>
                <c:pt idx="3">
                  <c:v>1727.1999999999998</c:v>
                </c:pt>
                <c:pt idx="4">
                  <c:v>1600.1999999999998</c:v>
                </c:pt>
                <c:pt idx="5">
                  <c:v>1270</c:v>
                </c:pt>
                <c:pt idx="6">
                  <c:v>406.4</c:v>
                </c:pt>
              </c:numCache>
            </c:numRef>
          </c:yVal>
          <c:smooth val="1"/>
          <c:extLst>
            <c:ext xmlns:c16="http://schemas.microsoft.com/office/drawing/2014/chart" uri="{C3380CC4-5D6E-409C-BE32-E72D297353CC}">
              <c16:uniqueId val="{00000004-05B5-4256-885E-14C08D4DB526}"/>
            </c:ext>
          </c:extLst>
        </c:ser>
        <c:ser>
          <c:idx val="5"/>
          <c:order val="5"/>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metric!$K$18:$K$28</c:f>
              <c:numCache>
                <c:formatCode>_(* #,##0.00_);_(* \(#,##0.00\);_(* "-"??_);_(@_)</c:formatCode>
                <c:ptCount val="11"/>
                <c:pt idx="0">
                  <c:v>1828.8</c:v>
                </c:pt>
                <c:pt idx="1">
                  <c:v>1828.8</c:v>
                </c:pt>
                <c:pt idx="2">
                  <c:v>1828.8</c:v>
                </c:pt>
                <c:pt idx="3">
                  <c:v>1803.3999999999999</c:v>
                </c:pt>
                <c:pt idx="4">
                  <c:v>1676.3999999999999</c:v>
                </c:pt>
                <c:pt idx="5">
                  <c:v>1397</c:v>
                </c:pt>
                <c:pt idx="6">
                  <c:v>685.8</c:v>
                </c:pt>
              </c:numCache>
            </c:numRef>
          </c:yVal>
          <c:smooth val="1"/>
          <c:extLst>
            <c:ext xmlns:c16="http://schemas.microsoft.com/office/drawing/2014/chart" uri="{C3380CC4-5D6E-409C-BE32-E72D297353CC}">
              <c16:uniqueId val="{00000005-05B5-4256-885E-14C08D4DB526}"/>
            </c:ext>
          </c:extLst>
        </c:ser>
        <c:ser>
          <c:idx val="6"/>
          <c:order val="6"/>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metric!$E$18:$E$28</c:f>
              <c:numCache>
                <c:formatCode>_(* #,##0.00_);_(* \(#,##0.00\);_(* "-"??_);_(@_)</c:formatCode>
                <c:ptCount val="11"/>
                <c:pt idx="0">
                  <c:v>1219.1999999999998</c:v>
                </c:pt>
                <c:pt idx="1">
                  <c:v>914.4</c:v>
                </c:pt>
                <c:pt idx="2">
                  <c:v>609.59999999999991</c:v>
                </c:pt>
                <c:pt idx="3">
                  <c:v>304.79999999999995</c:v>
                </c:pt>
                <c:pt idx="4">
                  <c:v>0</c:v>
                </c:pt>
                <c:pt idx="5">
                  <c:v>-304.79999999999995</c:v>
                </c:pt>
                <c:pt idx="6">
                  <c:v>-609.59999999999991</c:v>
                </c:pt>
                <c:pt idx="7">
                  <c:v>-914.4</c:v>
                </c:pt>
                <c:pt idx="8">
                  <c:v>-1219.1999999999998</c:v>
                </c:pt>
                <c:pt idx="9">
                  <c:v>-1524</c:v>
                </c:pt>
                <c:pt idx="10">
                  <c:v>-1676.3999999999999</c:v>
                </c:pt>
              </c:numCache>
            </c:numRef>
          </c:xVal>
          <c:yVal>
            <c:numRef>
              <c:f>metric!$L$18:$L$28</c:f>
              <c:numCache>
                <c:formatCode>_(* #,##0.00_);_(* \(#,##0.00\);_(* "-"??_);_(@_)</c:formatCode>
                <c:ptCount val="11"/>
                <c:pt idx="0">
                  <c:v>1828.8</c:v>
                </c:pt>
                <c:pt idx="1">
                  <c:v>1828.8</c:v>
                </c:pt>
                <c:pt idx="2">
                  <c:v>1803.3999999999999</c:v>
                </c:pt>
                <c:pt idx="3">
                  <c:v>1752.6</c:v>
                </c:pt>
                <c:pt idx="4">
                  <c:v>1638.3</c:v>
                </c:pt>
                <c:pt idx="5">
                  <c:v>1371.6</c:v>
                </c:pt>
                <c:pt idx="6">
                  <c:v>711.19999999999993</c:v>
                </c:pt>
              </c:numCache>
            </c:numRef>
          </c:yVal>
          <c:smooth val="1"/>
          <c:extLst>
            <c:ext xmlns:c16="http://schemas.microsoft.com/office/drawing/2014/chart" uri="{C3380CC4-5D6E-409C-BE32-E72D297353CC}">
              <c16:uniqueId val="{00000006-05B5-4256-885E-14C08D4DB526}"/>
            </c:ext>
          </c:extLst>
        </c:ser>
        <c:dLbls>
          <c:showLegendKey val="0"/>
          <c:showVal val="0"/>
          <c:showCatName val="0"/>
          <c:showSerName val="0"/>
          <c:showPercent val="0"/>
          <c:showBubbleSize val="0"/>
        </c:dLbls>
        <c:axId val="599727416"/>
        <c:axId val="599728728"/>
      </c:scatterChart>
      <c:valAx>
        <c:axId val="599727416"/>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728728"/>
        <c:crosses val="autoZero"/>
        <c:crossBetween val="midCat"/>
      </c:valAx>
      <c:valAx>
        <c:axId val="59972872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7274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Reported draught [mm] @ reported displacement [kg]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'draught &amp; displacement'!$O$2:$O$3</c:f>
              <c:strCache>
                <c:ptCount val="2"/>
                <c:pt idx="0">
                  <c:v>Reported draught @ reported displacement</c:v>
                </c:pt>
                <c:pt idx="1">
                  <c:v>mm</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'draught &amp; displacement'!$E$4:$E$19</c:f>
              <c:numCache>
                <c:formatCode>_-* #,##0_-;\-* #,##0_-;_-* "-"??_-;_-@_-</c:formatCode>
                <c:ptCount val="16"/>
                <c:pt idx="1">
                  <c:v>14424.234891861328</c:v>
                </c:pt>
                <c:pt idx="3">
                  <c:v>15000</c:v>
                </c:pt>
                <c:pt idx="5">
                  <c:v>12300</c:v>
                </c:pt>
                <c:pt idx="7">
                  <c:v>11339.807304922428</c:v>
                </c:pt>
                <c:pt idx="9">
                  <c:v>13834.564912005362</c:v>
                </c:pt>
                <c:pt idx="11">
                  <c:v>12246.991889316221</c:v>
                </c:pt>
                <c:pt idx="13">
                  <c:v>10886.21501272553</c:v>
                </c:pt>
                <c:pt idx="15">
                  <c:v>14924.234891861328</c:v>
                </c:pt>
              </c:numCache>
            </c:numRef>
          </c:xVal>
          <c:yVal>
            <c:numRef>
              <c:f>'draught &amp; displacement'!$O$4:$O$19</c:f>
              <c:numCache>
                <c:formatCode>_-* #,##0_-;\-* #,##0_-;_-* "-"??_-;_-@_-</c:formatCode>
                <c:ptCount val="16"/>
                <c:pt idx="1">
                  <c:v>1676.3999999999999</c:v>
                </c:pt>
                <c:pt idx="3">
                  <c:v>1828.8</c:v>
                </c:pt>
                <c:pt idx="5">
                  <c:v>1727.1999999999998</c:v>
                </c:pt>
                <c:pt idx="9">
                  <c:v>1879.6</c:v>
                </c:pt>
                <c:pt idx="15">
                  <c:v>1727.1999999999998</c:v>
                </c:pt>
              </c:numCache>
            </c:numRef>
          </c:yVal>
          <c:smooth val="0"/>
          <c:extLst>
            <c:ext xmlns:c16="http://schemas.microsoft.com/office/drawing/2014/chart" uri="{C3380CC4-5D6E-409C-BE32-E72D297353CC}">
              <c16:uniqueId val="{00000000-5890-4AB2-9DEB-55C069935723}"/>
            </c:ext>
          </c:extLst>
        </c:ser>
        <c:dLbls>
          <c:showLegendKey val="0"/>
          <c:showVal val="0"/>
          <c:showCatName val="0"/>
          <c:showSerName val="0"/>
          <c:showPercent val="0"/>
          <c:showBubbleSize val="0"/>
        </c:dLbls>
        <c:axId val="693284952"/>
        <c:axId val="693280360"/>
      </c:scatterChart>
      <c:valAx>
        <c:axId val="693284952"/>
        <c:scaling>
          <c:orientation val="minMax"/>
          <c:min val="12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Reported</a:t>
                </a:r>
                <a:r>
                  <a:rPr lang="en-GB" baseline="0"/>
                  <a:t>  displacement</a:t>
                </a:r>
                <a:r>
                  <a:rPr lang="en-GB"/>
                  <a:t> [kg]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280360"/>
        <c:crosses val="autoZero"/>
        <c:crossBetween val="midCat"/>
      </c:valAx>
      <c:valAx>
        <c:axId val="693280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Reported</a:t>
                </a:r>
                <a:r>
                  <a:rPr lang="en-GB" baseline="0"/>
                  <a:t> draught [mm]</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28495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22</xdr:col>
      <xdr:colOff>195085</xdr:colOff>
      <xdr:row>16</xdr:row>
      <xdr:rowOff>153809</xdr:rowOff>
    </xdr:from>
    <xdr:to>
      <xdr:col>29</xdr:col>
      <xdr:colOff>493184</xdr:colOff>
      <xdr:row>31</xdr:row>
      <xdr:rowOff>105125</xdr:rowOff>
    </xdr:to>
    <xdr:graphicFrame macro="">
      <xdr:nvGraphicFramePr>
        <xdr:cNvPr id="2" name="Chart 1">
          <a:extLst>
            <a:ext uri="{FF2B5EF4-FFF2-40B4-BE49-F238E27FC236}">
              <a16:creationId xmlns:a16="http://schemas.microsoft.com/office/drawing/2014/main" id="{824CE925-3208-4CB0-B0D6-7C14D29DE4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24342</xdr:colOff>
      <xdr:row>32</xdr:row>
      <xdr:rowOff>60325</xdr:rowOff>
    </xdr:from>
    <xdr:to>
      <xdr:col>29</xdr:col>
      <xdr:colOff>518938</xdr:colOff>
      <xdr:row>42</xdr:row>
      <xdr:rowOff>144991</xdr:rowOff>
    </xdr:to>
    <xdr:graphicFrame macro="">
      <xdr:nvGraphicFramePr>
        <xdr:cNvPr id="3" name="Chart 2">
          <a:extLst>
            <a:ext uri="{FF2B5EF4-FFF2-40B4-BE49-F238E27FC236}">
              <a16:creationId xmlns:a16="http://schemas.microsoft.com/office/drawing/2014/main" id="{3FDE3E16-2FC3-4D66-8CBC-2C8D5471C2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253999</xdr:colOff>
      <xdr:row>0</xdr:row>
      <xdr:rowOff>110419</xdr:rowOff>
    </xdr:from>
    <xdr:to>
      <xdr:col>29</xdr:col>
      <xdr:colOff>539750</xdr:colOff>
      <xdr:row>16</xdr:row>
      <xdr:rowOff>73731</xdr:rowOff>
    </xdr:to>
    <xdr:graphicFrame macro="">
      <xdr:nvGraphicFramePr>
        <xdr:cNvPr id="4" name="Chart 3">
          <a:extLst>
            <a:ext uri="{FF2B5EF4-FFF2-40B4-BE49-F238E27FC236}">
              <a16:creationId xmlns:a16="http://schemas.microsoft.com/office/drawing/2014/main" id="{D5A577C7-23EE-42FC-B014-BCDA6C9867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195085</xdr:colOff>
      <xdr:row>16</xdr:row>
      <xdr:rowOff>153809</xdr:rowOff>
    </xdr:from>
    <xdr:to>
      <xdr:col>29</xdr:col>
      <xdr:colOff>493184</xdr:colOff>
      <xdr:row>31</xdr:row>
      <xdr:rowOff>105125</xdr:rowOff>
    </xdr:to>
    <xdr:graphicFrame macro="">
      <xdr:nvGraphicFramePr>
        <xdr:cNvPr id="2" name="Chart 1">
          <a:extLst>
            <a:ext uri="{FF2B5EF4-FFF2-40B4-BE49-F238E27FC236}">
              <a16:creationId xmlns:a16="http://schemas.microsoft.com/office/drawing/2014/main" id="{1541EF0E-DA0E-43B9-BFFB-E865FC868F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24342</xdr:colOff>
      <xdr:row>32</xdr:row>
      <xdr:rowOff>60325</xdr:rowOff>
    </xdr:from>
    <xdr:to>
      <xdr:col>29</xdr:col>
      <xdr:colOff>518938</xdr:colOff>
      <xdr:row>42</xdr:row>
      <xdr:rowOff>144991</xdr:rowOff>
    </xdr:to>
    <xdr:graphicFrame macro="">
      <xdr:nvGraphicFramePr>
        <xdr:cNvPr id="3" name="Chart 2">
          <a:extLst>
            <a:ext uri="{FF2B5EF4-FFF2-40B4-BE49-F238E27FC236}">
              <a16:creationId xmlns:a16="http://schemas.microsoft.com/office/drawing/2014/main" id="{EF2BDB37-C9AC-4347-B235-A62FA795A8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253999</xdr:colOff>
      <xdr:row>0</xdr:row>
      <xdr:rowOff>110419</xdr:rowOff>
    </xdr:from>
    <xdr:to>
      <xdr:col>29</xdr:col>
      <xdr:colOff>539750</xdr:colOff>
      <xdr:row>16</xdr:row>
      <xdr:rowOff>73731</xdr:rowOff>
    </xdr:to>
    <xdr:graphicFrame macro="">
      <xdr:nvGraphicFramePr>
        <xdr:cNvPr id="4" name="Chart 3">
          <a:extLst>
            <a:ext uri="{FF2B5EF4-FFF2-40B4-BE49-F238E27FC236}">
              <a16:creationId xmlns:a16="http://schemas.microsoft.com/office/drawing/2014/main" id="{A8471865-6F92-413C-A0EF-7D4FE4D628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2162175</xdr:colOff>
      <xdr:row>20</xdr:row>
      <xdr:rowOff>47625</xdr:rowOff>
    </xdr:from>
    <xdr:to>
      <xdr:col>10</xdr:col>
      <xdr:colOff>1114424</xdr:colOff>
      <xdr:row>35</xdr:row>
      <xdr:rowOff>150812</xdr:rowOff>
    </xdr:to>
    <xdr:graphicFrame macro="">
      <xdr:nvGraphicFramePr>
        <xdr:cNvPr id="2" name="Chart 1">
          <a:extLst>
            <a:ext uri="{FF2B5EF4-FFF2-40B4-BE49-F238E27FC236}">
              <a16:creationId xmlns:a16="http://schemas.microsoft.com/office/drawing/2014/main" id="{BF7DA197-6F4A-4E2C-B4D9-FCF0BB943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5A519-7649-4DF8-AEEC-E94C9DE37EF4}">
  <dimension ref="A2:S39"/>
  <sheetViews>
    <sheetView zoomScale="90" zoomScaleNormal="90" workbookViewId="0">
      <selection activeCell="I30" sqref="I30"/>
    </sheetView>
  </sheetViews>
  <sheetFormatPr defaultRowHeight="14.5" x14ac:dyDescent="0.35"/>
  <cols>
    <col min="1" max="1" width="4.36328125" customWidth="1"/>
    <col min="2" max="2" width="5.36328125" customWidth="1"/>
    <col min="3" max="3" width="9.54296875" customWidth="1"/>
    <col min="4" max="4" width="10.54296875" customWidth="1"/>
    <col min="5" max="5" width="5.1796875" customWidth="1"/>
    <col min="6" max="11" width="9.26953125" customWidth="1"/>
    <col min="12" max="12" width="10.54296875" customWidth="1"/>
    <col min="13" max="13" width="9.26953125" customWidth="1"/>
    <col min="14" max="15" width="12" customWidth="1"/>
    <col min="16" max="18" width="11" customWidth="1"/>
  </cols>
  <sheetData>
    <row r="2" spans="2:18" ht="15" thickBot="1" x14ac:dyDescent="0.4">
      <c r="B2" s="2" t="s">
        <v>17</v>
      </c>
      <c r="G2" s="1">
        <v>0</v>
      </c>
      <c r="H2" s="1">
        <v>1</v>
      </c>
      <c r="I2" s="1">
        <v>2</v>
      </c>
      <c r="J2" s="1">
        <v>3</v>
      </c>
      <c r="K2" s="1">
        <v>4</v>
      </c>
      <c r="L2" s="1">
        <v>5</v>
      </c>
      <c r="M2" s="1">
        <v>6</v>
      </c>
      <c r="N2" s="1">
        <v>7</v>
      </c>
      <c r="O2" s="1">
        <v>8</v>
      </c>
      <c r="P2" s="1">
        <v>9</v>
      </c>
      <c r="Q2" s="1">
        <v>10</v>
      </c>
    </row>
    <row r="3" spans="2:18" x14ac:dyDescent="0.35">
      <c r="B3" s="36" t="s">
        <v>18</v>
      </c>
      <c r="C3" s="37"/>
      <c r="D3" s="37"/>
      <c r="E3" s="37"/>
      <c r="F3" s="38" t="str">
        <f t="shared" ref="F3:Q3" si="0">INT(F4/12) &amp; " ft. " &amp; MOD(F4,12) &amp; " in."</f>
        <v>0 ft. 0 in.</v>
      </c>
      <c r="G3" s="38" t="str">
        <f t="shared" si="0"/>
        <v>2 ft. 4.5 in.</v>
      </c>
      <c r="H3" s="38" t="str">
        <f t="shared" si="0"/>
        <v>5 ft. 6.75 in.</v>
      </c>
      <c r="I3" s="38" t="str">
        <f t="shared" si="0"/>
        <v>8 ft. 9 in.</v>
      </c>
      <c r="J3" s="38" t="str">
        <f t="shared" si="0"/>
        <v>11 ft. 11.25 in.</v>
      </c>
      <c r="K3" s="38" t="str">
        <f t="shared" si="0"/>
        <v>15 ft. 1.5 in.</v>
      </c>
      <c r="L3" s="38" t="str">
        <f t="shared" si="0"/>
        <v>18 ft. 3.75 in.</v>
      </c>
      <c r="M3" s="38" t="str">
        <f t="shared" si="0"/>
        <v>21 ft. 6 in.</v>
      </c>
      <c r="N3" s="38" t="str">
        <f t="shared" si="0"/>
        <v>24 ft. 8.25 in.</v>
      </c>
      <c r="O3" s="38" t="str">
        <f t="shared" si="0"/>
        <v>27 ft. 10.5 in.</v>
      </c>
      <c r="P3" s="38" t="str">
        <f t="shared" si="0"/>
        <v>31 ft. 0.75 in.</v>
      </c>
      <c r="Q3" s="38" t="str">
        <f t="shared" si="0"/>
        <v>34 ft. 3 in.</v>
      </c>
      <c r="R3" s="39" t="str">
        <f>INT(R4/12) &amp; " ft. " &amp; MOD(R4,12) &amp; " in."</f>
        <v>38 ft. 7.5 in.</v>
      </c>
    </row>
    <row r="4" spans="2:18" ht="15" thickBot="1" x14ac:dyDescent="0.4">
      <c r="B4" s="40"/>
      <c r="C4" s="41"/>
      <c r="D4" s="41"/>
      <c r="E4" s="41"/>
      <c r="F4" s="42">
        <f t="shared" ref="F4:Q4" si="1">G4-(G12-F12)</f>
        <v>0</v>
      </c>
      <c r="G4" s="42">
        <f t="shared" si="1"/>
        <v>28.5</v>
      </c>
      <c r="H4" s="42">
        <f t="shared" si="1"/>
        <v>66.75</v>
      </c>
      <c r="I4" s="42">
        <f t="shared" si="1"/>
        <v>105</v>
      </c>
      <c r="J4" s="42">
        <f t="shared" si="1"/>
        <v>143.25</v>
      </c>
      <c r="K4" s="42">
        <f t="shared" si="1"/>
        <v>181.5</v>
      </c>
      <c r="L4" s="42">
        <f t="shared" si="1"/>
        <v>219.75</v>
      </c>
      <c r="M4" s="42">
        <f t="shared" si="1"/>
        <v>258</v>
      </c>
      <c r="N4" s="42">
        <f t="shared" si="1"/>
        <v>296.25</v>
      </c>
      <c r="O4" s="42">
        <f t="shared" si="1"/>
        <v>334.5</v>
      </c>
      <c r="P4" s="42">
        <f t="shared" si="1"/>
        <v>372.75</v>
      </c>
      <c r="Q4" s="42">
        <f t="shared" si="1"/>
        <v>411</v>
      </c>
      <c r="R4" s="43">
        <f>R12-F12</f>
        <v>463.5</v>
      </c>
    </row>
    <row r="5" spans="2:18" x14ac:dyDescent="0.35">
      <c r="B5" s="36" t="s">
        <v>19</v>
      </c>
      <c r="C5" s="44"/>
      <c r="D5" s="44"/>
      <c r="E5" s="44"/>
      <c r="F5" s="38" t="str">
        <f>INT(F6/12) &amp; " ft. " &amp; MOD(F6,12) &amp; " in."</f>
        <v>38 ft. 7.5 in.</v>
      </c>
      <c r="G5" s="38" t="str">
        <f t="shared" ref="G5:R5" si="2">INT(G6/12) &amp; " ft. " &amp; MOD(G6,12) &amp; " in."</f>
        <v>36 ft. 3 in.</v>
      </c>
      <c r="H5" s="38" t="str">
        <f t="shared" si="2"/>
        <v>33 ft. 0.75 in.</v>
      </c>
      <c r="I5" s="38" t="str">
        <f t="shared" si="2"/>
        <v>29 ft. 10.5 in.</v>
      </c>
      <c r="J5" s="38" t="str">
        <f t="shared" si="2"/>
        <v>26 ft. 8.25 in.</v>
      </c>
      <c r="K5" s="38" t="str">
        <f t="shared" si="2"/>
        <v>23 ft. 6 in.</v>
      </c>
      <c r="L5" s="38" t="str">
        <f t="shared" si="2"/>
        <v>20 ft. 3.75 in.</v>
      </c>
      <c r="M5" s="38" t="str">
        <f t="shared" si="2"/>
        <v>17 ft. 1.5 in.</v>
      </c>
      <c r="N5" s="38" t="str">
        <f t="shared" si="2"/>
        <v>13 ft. 11.25 in.</v>
      </c>
      <c r="O5" s="38" t="str">
        <f t="shared" si="2"/>
        <v>10 ft. 9 in.</v>
      </c>
      <c r="P5" s="38" t="str">
        <f t="shared" si="2"/>
        <v>7 ft. 6.75 in.</v>
      </c>
      <c r="Q5" s="38" t="str">
        <f t="shared" si="2"/>
        <v>4 ft. 4.5 in.</v>
      </c>
      <c r="R5" s="39" t="str">
        <f t="shared" si="2"/>
        <v>0 ft. 0 in.</v>
      </c>
    </row>
    <row r="6" spans="2:18" ht="15" thickBot="1" x14ac:dyDescent="0.4">
      <c r="B6" s="40"/>
      <c r="C6" s="41"/>
      <c r="D6" s="41"/>
      <c r="E6" s="41"/>
      <c r="F6" s="42">
        <f>R4</f>
        <v>463.5</v>
      </c>
      <c r="G6" s="42">
        <f>$F6-G4</f>
        <v>435</v>
      </c>
      <c r="H6" s="42">
        <f t="shared" ref="H6:R6" si="3">$F6-H4</f>
        <v>396.75</v>
      </c>
      <c r="I6" s="42">
        <f t="shared" si="3"/>
        <v>358.5</v>
      </c>
      <c r="J6" s="42">
        <f t="shared" si="3"/>
        <v>320.25</v>
      </c>
      <c r="K6" s="42">
        <f t="shared" si="3"/>
        <v>282</v>
      </c>
      <c r="L6" s="42">
        <f t="shared" si="3"/>
        <v>243.75</v>
      </c>
      <c r="M6" s="42">
        <f t="shared" si="3"/>
        <v>205.5</v>
      </c>
      <c r="N6" s="42">
        <f t="shared" si="3"/>
        <v>167.25</v>
      </c>
      <c r="O6" s="42">
        <f t="shared" si="3"/>
        <v>129</v>
      </c>
      <c r="P6" s="42">
        <f t="shared" si="3"/>
        <v>90.75</v>
      </c>
      <c r="Q6" s="42">
        <f t="shared" si="3"/>
        <v>52.5</v>
      </c>
      <c r="R6" s="43">
        <f t="shared" si="3"/>
        <v>0</v>
      </c>
    </row>
    <row r="7" spans="2:18" x14ac:dyDescent="0.35">
      <c r="C7" s="2"/>
      <c r="D7" s="2"/>
      <c r="E7" s="2"/>
    </row>
    <row r="8" spans="2:18" s="1" customFormat="1" ht="15" thickBot="1" x14ac:dyDescent="0.4">
      <c r="G8" s="1" t="s">
        <v>20</v>
      </c>
    </row>
    <row r="9" spans="2:18" s="2" customFormat="1" x14ac:dyDescent="0.35">
      <c r="B9" s="2" t="s">
        <v>21</v>
      </c>
      <c r="F9" s="2" t="s">
        <v>11</v>
      </c>
      <c r="G9" s="14" t="s">
        <v>8</v>
      </c>
      <c r="H9" s="2" t="s">
        <v>9</v>
      </c>
      <c r="I9" s="2" t="s">
        <v>10</v>
      </c>
      <c r="J9" s="2" t="s">
        <v>2</v>
      </c>
      <c r="K9" s="2" t="s">
        <v>3</v>
      </c>
      <c r="L9" s="2" t="s">
        <v>4</v>
      </c>
      <c r="M9" s="2" t="s">
        <v>5</v>
      </c>
      <c r="N9" s="2" t="s">
        <v>6</v>
      </c>
      <c r="O9" s="2" t="s">
        <v>7</v>
      </c>
      <c r="P9" s="2" t="s">
        <v>1</v>
      </c>
      <c r="Q9" s="2" t="s">
        <v>0</v>
      </c>
      <c r="R9" s="2" t="s">
        <v>13</v>
      </c>
    </row>
    <row r="10" spans="2:18" ht="15" thickBot="1" x14ac:dyDescent="0.4">
      <c r="G10" s="15"/>
    </row>
    <row r="11" spans="2:18" s="3" customFormat="1" x14ac:dyDescent="0.35">
      <c r="B11" s="25" t="s">
        <v>12</v>
      </c>
      <c r="C11" s="26"/>
      <c r="D11" s="26"/>
      <c r="E11" s="26"/>
      <c r="F11" s="27" t="str">
        <f t="shared" ref="F11:I11" si="4">INT(F12/12) &amp; " ft. " &amp; MOD(F12,12) &amp; " in."</f>
        <v>-3 ft. 7.5 in.</v>
      </c>
      <c r="G11" s="28" t="str">
        <f t="shared" si="4"/>
        <v>0 ft. 0 in.</v>
      </c>
      <c r="H11" s="27" t="str">
        <f t="shared" si="4"/>
        <v>3 ft. 2.25 in.</v>
      </c>
      <c r="I11" s="27" t="str">
        <f t="shared" si="4"/>
        <v>6 ft. 4.5 in.</v>
      </c>
      <c r="J11" s="27" t="str">
        <f>INT(J12/12) &amp; " ft. " &amp; MOD(J12,12) &amp; " in."</f>
        <v>9 ft. 6.75 in.</v>
      </c>
      <c r="K11" s="27" t="str">
        <f t="shared" ref="K11:Q11" si="5">INT(K12/12) &amp; " ft. " &amp; MOD(K12,12) &amp; " in."</f>
        <v>12 ft. 9 in.</v>
      </c>
      <c r="L11" s="27" t="str">
        <f t="shared" si="5"/>
        <v>15 ft. 11.25 in.</v>
      </c>
      <c r="M11" s="27" t="str">
        <f t="shared" si="5"/>
        <v>19 ft. 1.5 in.</v>
      </c>
      <c r="N11" s="27" t="str">
        <f t="shared" si="5"/>
        <v>22 ft. 3.75 in.</v>
      </c>
      <c r="O11" s="27" t="str">
        <f t="shared" si="5"/>
        <v>25 ft. 6 in.</v>
      </c>
      <c r="P11" s="27" t="str">
        <f t="shared" si="5"/>
        <v>28 ft. 8.25 in.</v>
      </c>
      <c r="Q11" s="27" t="str">
        <f t="shared" si="5"/>
        <v>31 ft. 10.5 in.</v>
      </c>
      <c r="R11" s="29" t="str">
        <f>INT(R12/12) &amp; " ft. " &amp; MOD(R12,12) &amp; " in."</f>
        <v>36 ft. 3 in.</v>
      </c>
    </row>
    <row r="12" spans="2:18" ht="15" thickBot="1" x14ac:dyDescent="0.4">
      <c r="B12" s="30"/>
      <c r="C12" s="31"/>
      <c r="D12" s="31"/>
      <c r="E12" s="31"/>
      <c r="F12" s="32">
        <v>-28.5</v>
      </c>
      <c r="G12" s="33">
        <v>0</v>
      </c>
      <c r="H12" s="32">
        <v>38.25</v>
      </c>
      <c r="I12" s="32">
        <f t="shared" ref="I12:Q12" si="6">$H$12*I2</f>
        <v>76.5</v>
      </c>
      <c r="J12" s="32">
        <f t="shared" si="6"/>
        <v>114.75</v>
      </c>
      <c r="K12" s="32">
        <f t="shared" si="6"/>
        <v>153</v>
      </c>
      <c r="L12" s="32">
        <f t="shared" si="6"/>
        <v>191.25</v>
      </c>
      <c r="M12" s="32">
        <f t="shared" si="6"/>
        <v>229.5</v>
      </c>
      <c r="N12" s="32">
        <f t="shared" si="6"/>
        <v>267.75</v>
      </c>
      <c r="O12" s="32">
        <f t="shared" si="6"/>
        <v>306</v>
      </c>
      <c r="P12" s="32">
        <f t="shared" si="6"/>
        <v>344.25</v>
      </c>
      <c r="Q12" s="32">
        <f t="shared" si="6"/>
        <v>382.5</v>
      </c>
      <c r="R12" s="34">
        <f>Q12+52.5</f>
        <v>435</v>
      </c>
    </row>
    <row r="13" spans="2:18" x14ac:dyDescent="0.35">
      <c r="G13" s="15"/>
    </row>
    <row r="14" spans="2:18" x14ac:dyDescent="0.35">
      <c r="B14" s="5"/>
      <c r="G14" s="15"/>
    </row>
    <row r="15" spans="2:18" x14ac:dyDescent="0.35">
      <c r="B15" s="5"/>
      <c r="F15" s="4"/>
      <c r="G15" s="15"/>
    </row>
    <row r="16" spans="2:18" x14ac:dyDescent="0.35">
      <c r="B16" s="5"/>
      <c r="F16" s="4"/>
      <c r="G16" s="15"/>
    </row>
    <row r="17" spans="1:19" ht="15" thickBot="1" x14ac:dyDescent="0.4">
      <c r="B17" s="1" t="s">
        <v>36</v>
      </c>
      <c r="C17" s="1" t="s">
        <v>35</v>
      </c>
      <c r="D17" s="7"/>
      <c r="E17" s="6" t="s">
        <v>16</v>
      </c>
      <c r="F17" s="4"/>
      <c r="G17" s="15"/>
    </row>
    <row r="18" spans="1:19" x14ac:dyDescent="0.35">
      <c r="B18" s="3">
        <v>114</v>
      </c>
      <c r="C18" s="4" t="str">
        <f>INT(B18/12) &amp; " ft. " &amp; MOD(B18,12) &amp; " in."</f>
        <v>9 ft. 6 in.</v>
      </c>
      <c r="D18" s="8" t="str">
        <f t="shared" ref="D18:D27" si="7">INT(E18/12) &amp; " ft. " &amp; MOD(E18,12) &amp; " in."</f>
        <v>4 ft. 0 in.</v>
      </c>
      <c r="E18" s="9">
        <v>48</v>
      </c>
      <c r="G18" s="15">
        <v>38</v>
      </c>
      <c r="H18">
        <v>56</v>
      </c>
      <c r="I18">
        <v>65</v>
      </c>
      <c r="J18">
        <v>69</v>
      </c>
      <c r="K18">
        <v>72</v>
      </c>
      <c r="L18">
        <v>72</v>
      </c>
      <c r="M18">
        <v>69</v>
      </c>
      <c r="N18">
        <v>65</v>
      </c>
      <c r="O18">
        <v>57</v>
      </c>
      <c r="P18">
        <v>45</v>
      </c>
      <c r="Q18">
        <v>28</v>
      </c>
      <c r="R18">
        <v>4.5</v>
      </c>
    </row>
    <row r="19" spans="1:19" x14ac:dyDescent="0.35">
      <c r="B19" s="3">
        <v>102</v>
      </c>
      <c r="C19" s="4" t="str">
        <f>INT(B19/12) &amp; " ft. " &amp; MOD(B19,12) &amp; " in."</f>
        <v>8 ft. 6 in.</v>
      </c>
      <c r="D19" s="10" t="str">
        <f t="shared" si="7"/>
        <v>3 ft. 0 in.</v>
      </c>
      <c r="E19" s="11">
        <v>36</v>
      </c>
      <c r="F19">
        <v>0</v>
      </c>
      <c r="G19" s="15">
        <v>39</v>
      </c>
      <c r="H19">
        <v>57</v>
      </c>
      <c r="I19">
        <v>65</v>
      </c>
      <c r="J19">
        <v>70</v>
      </c>
      <c r="K19">
        <v>72</v>
      </c>
      <c r="L19">
        <v>72</v>
      </c>
      <c r="M19">
        <v>68.5</v>
      </c>
      <c r="N19">
        <v>63</v>
      </c>
      <c r="O19">
        <v>54</v>
      </c>
      <c r="P19">
        <v>39</v>
      </c>
      <c r="Q19">
        <v>21</v>
      </c>
    </row>
    <row r="20" spans="1:19" x14ac:dyDescent="0.35">
      <c r="B20" s="3">
        <v>90</v>
      </c>
      <c r="C20" s="4" t="str">
        <f t="shared" ref="C20:C25" si="8">INT(B20/12) &amp; " ft. " &amp; MOD(B20,12) &amp; " in."</f>
        <v>7 ft. 6 in.</v>
      </c>
      <c r="D20" s="10" t="str">
        <f t="shared" si="7"/>
        <v>2 ft. 0 in.</v>
      </c>
      <c r="E20" s="11">
        <v>24</v>
      </c>
      <c r="G20" s="15">
        <v>38</v>
      </c>
      <c r="H20">
        <v>56</v>
      </c>
      <c r="I20">
        <v>64.5</v>
      </c>
      <c r="J20">
        <v>70</v>
      </c>
      <c r="K20">
        <v>72</v>
      </c>
      <c r="L20">
        <v>71</v>
      </c>
      <c r="M20">
        <v>67</v>
      </c>
      <c r="N20">
        <v>60</v>
      </c>
      <c r="O20">
        <v>49</v>
      </c>
      <c r="P20">
        <v>33</v>
      </c>
      <c r="Q20">
        <v>14</v>
      </c>
    </row>
    <row r="21" spans="1:19" ht="15" thickBot="1" x14ac:dyDescent="0.4">
      <c r="B21" s="3">
        <v>78</v>
      </c>
      <c r="C21" s="4" t="str">
        <f t="shared" si="8"/>
        <v>6 ft. 6 in.</v>
      </c>
      <c r="D21" s="10" t="str">
        <f t="shared" si="7"/>
        <v>1 ft. 0 in.</v>
      </c>
      <c r="E21" s="11">
        <v>12</v>
      </c>
      <c r="G21" s="15">
        <v>27</v>
      </c>
      <c r="H21">
        <v>51</v>
      </c>
      <c r="I21">
        <v>62</v>
      </c>
      <c r="J21">
        <v>68</v>
      </c>
      <c r="K21">
        <v>71</v>
      </c>
      <c r="L21">
        <v>69</v>
      </c>
      <c r="M21">
        <v>65</v>
      </c>
      <c r="N21">
        <v>55.5</v>
      </c>
      <c r="O21">
        <v>43</v>
      </c>
      <c r="P21">
        <v>26</v>
      </c>
      <c r="Q21">
        <v>7</v>
      </c>
    </row>
    <row r="22" spans="1:19" ht="15" thickBot="1" x14ac:dyDescent="0.4">
      <c r="A22" s="17" t="s">
        <v>14</v>
      </c>
      <c r="B22" s="18">
        <v>66</v>
      </c>
      <c r="C22" s="19" t="str">
        <f t="shared" si="8"/>
        <v>5 ft. 6 in.</v>
      </c>
      <c r="D22" s="20" t="str">
        <f t="shared" si="7"/>
        <v>0 ft. 0 in.</v>
      </c>
      <c r="E22" s="21">
        <v>0</v>
      </c>
      <c r="F22" s="22"/>
      <c r="G22" s="23">
        <v>0</v>
      </c>
      <c r="H22" s="22">
        <v>38</v>
      </c>
      <c r="I22" s="22">
        <v>54</v>
      </c>
      <c r="J22" s="22">
        <v>63</v>
      </c>
      <c r="K22" s="22">
        <v>66</v>
      </c>
      <c r="L22" s="22">
        <v>64.5</v>
      </c>
      <c r="M22" s="22">
        <v>60</v>
      </c>
      <c r="N22" s="22">
        <v>48.5</v>
      </c>
      <c r="O22" s="22">
        <v>34</v>
      </c>
      <c r="P22" s="22">
        <v>17</v>
      </c>
      <c r="Q22" s="22">
        <v>0</v>
      </c>
      <c r="R22" s="24"/>
      <c r="S22" t="s">
        <v>20</v>
      </c>
    </row>
    <row r="23" spans="1:19" x14ac:dyDescent="0.35">
      <c r="B23" s="3">
        <v>54</v>
      </c>
      <c r="C23" s="4" t="str">
        <f t="shared" si="8"/>
        <v>4 ft. 6 in.</v>
      </c>
      <c r="D23" s="10" t="str">
        <f t="shared" si="7"/>
        <v>-1 ft. 0 in.</v>
      </c>
      <c r="E23" s="11">
        <v>-12</v>
      </c>
      <c r="G23" s="15"/>
      <c r="H23" s="35">
        <v>12</v>
      </c>
      <c r="I23" s="35">
        <v>38</v>
      </c>
      <c r="J23" s="35">
        <v>50</v>
      </c>
      <c r="K23" s="35">
        <v>55</v>
      </c>
      <c r="L23" s="35">
        <v>54</v>
      </c>
      <c r="M23" s="35">
        <v>48</v>
      </c>
      <c r="N23" s="35">
        <v>35.5</v>
      </c>
      <c r="O23" s="35">
        <v>21</v>
      </c>
      <c r="P23" s="35">
        <v>7</v>
      </c>
    </row>
    <row r="24" spans="1:19" x14ac:dyDescent="0.35">
      <c r="B24" s="3">
        <v>42</v>
      </c>
      <c r="C24" s="4" t="str">
        <f t="shared" si="8"/>
        <v>3 ft. 6 in.</v>
      </c>
      <c r="D24" s="10" t="str">
        <f t="shared" si="7"/>
        <v>-2 ft. 0 in.</v>
      </c>
      <c r="E24" s="11">
        <v>-24</v>
      </c>
      <c r="G24" s="15"/>
      <c r="I24" s="35">
        <v>1</v>
      </c>
      <c r="J24" s="35">
        <v>16</v>
      </c>
      <c r="K24" s="35">
        <v>27</v>
      </c>
      <c r="L24" s="35">
        <v>28</v>
      </c>
      <c r="M24" s="35">
        <v>18</v>
      </c>
      <c r="N24" s="35">
        <v>9</v>
      </c>
      <c r="O24" s="35">
        <v>1</v>
      </c>
    </row>
    <row r="25" spans="1:19" x14ac:dyDescent="0.35">
      <c r="B25" s="3">
        <v>30</v>
      </c>
      <c r="C25" s="4" t="str">
        <f t="shared" si="8"/>
        <v>2 ft. 6 in.</v>
      </c>
      <c r="D25" s="10" t="str">
        <f t="shared" si="7"/>
        <v>-3 ft. 0 in.</v>
      </c>
      <c r="E25" s="11">
        <v>-36</v>
      </c>
      <c r="G25" s="15"/>
    </row>
    <row r="26" spans="1:19" x14ac:dyDescent="0.35">
      <c r="B26" s="3">
        <v>18</v>
      </c>
      <c r="C26" s="4" t="str">
        <f t="shared" ref="C26:C27" si="9">INT(B26/12) &amp; " ft. " &amp; MOD(B26,12) &amp; " in."</f>
        <v>1 ft. 6 in.</v>
      </c>
      <c r="D26" s="10" t="str">
        <f t="shared" si="7"/>
        <v>-4 ft. 0 in.</v>
      </c>
      <c r="E26" s="11">
        <v>-48</v>
      </c>
      <c r="G26" s="15"/>
    </row>
    <row r="27" spans="1:19" x14ac:dyDescent="0.35">
      <c r="B27" s="3">
        <v>6</v>
      </c>
      <c r="C27" s="4" t="str">
        <f t="shared" si="9"/>
        <v>0 ft. 6 in.</v>
      </c>
      <c r="D27" s="10" t="str">
        <f t="shared" si="7"/>
        <v>-5 ft. 0 in.</v>
      </c>
      <c r="E27" s="11">
        <v>-60</v>
      </c>
      <c r="G27" s="15"/>
    </row>
    <row r="28" spans="1:19" ht="15" thickBot="1" x14ac:dyDescent="0.4">
      <c r="B28" s="3">
        <v>0</v>
      </c>
      <c r="C28" s="4" t="str">
        <f>INT(B28/12) &amp; " ft. " &amp; MOD(B28,12) &amp; " in."</f>
        <v>0 ft. 0 in.</v>
      </c>
      <c r="D28" s="12" t="s">
        <v>15</v>
      </c>
      <c r="E28" s="13">
        <v>-66</v>
      </c>
      <c r="G28" s="16"/>
    </row>
    <row r="32" spans="1:19" x14ac:dyDescent="0.35">
      <c r="B32" s="57" t="s">
        <v>27</v>
      </c>
    </row>
    <row r="33" spans="2:2" x14ac:dyDescent="0.35">
      <c r="B33" s="57" t="s">
        <v>28</v>
      </c>
    </row>
    <row r="34" spans="2:2" x14ac:dyDescent="0.35">
      <c r="B34" s="57" t="s">
        <v>29</v>
      </c>
    </row>
    <row r="35" spans="2:2" x14ac:dyDescent="0.35">
      <c r="B35" s="57" t="s">
        <v>30</v>
      </c>
    </row>
    <row r="36" spans="2:2" x14ac:dyDescent="0.35">
      <c r="B36" s="57" t="s">
        <v>31</v>
      </c>
    </row>
    <row r="37" spans="2:2" x14ac:dyDescent="0.35">
      <c r="B37" s="57" t="s">
        <v>32</v>
      </c>
    </row>
    <row r="38" spans="2:2" x14ac:dyDescent="0.35">
      <c r="B38" s="57" t="s">
        <v>33</v>
      </c>
    </row>
    <row r="39" spans="2:2" x14ac:dyDescent="0.35">
      <c r="B39" s="57" t="s">
        <v>34</v>
      </c>
    </row>
  </sheetData>
  <phoneticPr fontId="3"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5CFC0-6A3B-41B8-966F-73E7CD420FEA}">
  <dimension ref="A1:S39"/>
  <sheetViews>
    <sheetView zoomScale="90" zoomScaleNormal="90" workbookViewId="0">
      <selection activeCell="G3" sqref="G3"/>
    </sheetView>
  </sheetViews>
  <sheetFormatPr defaultRowHeight="14.5" x14ac:dyDescent="0.35"/>
  <cols>
    <col min="1" max="1" width="4.36328125" customWidth="1"/>
    <col min="2" max="2" width="10.453125" customWidth="1"/>
    <col min="3" max="3" width="9.54296875" customWidth="1"/>
    <col min="4" max="4" width="10.54296875" customWidth="1"/>
    <col min="5" max="5" width="10.26953125" customWidth="1"/>
    <col min="6" max="18" width="10.54296875" customWidth="1"/>
  </cols>
  <sheetData>
    <row r="1" spans="2:18" x14ac:dyDescent="0.35">
      <c r="B1" s="45">
        <v>25.4</v>
      </c>
      <c r="C1" t="s">
        <v>22</v>
      </c>
    </row>
    <row r="2" spans="2:18" ht="15" thickBot="1" x14ac:dyDescent="0.4">
      <c r="B2" s="2" t="s">
        <v>17</v>
      </c>
      <c r="G2" s="1"/>
      <c r="H2" s="1"/>
      <c r="I2" s="1"/>
      <c r="J2" s="1"/>
      <c r="K2" s="1"/>
      <c r="L2" s="1"/>
      <c r="M2" s="1"/>
      <c r="N2" s="1"/>
      <c r="O2" s="1"/>
      <c r="P2" s="1"/>
      <c r="Q2" s="1"/>
    </row>
    <row r="3" spans="2:18" x14ac:dyDescent="0.35">
      <c r="B3" s="36" t="s">
        <v>18</v>
      </c>
      <c r="C3" s="37"/>
      <c r="D3" s="37"/>
      <c r="E3" s="37"/>
      <c r="F3" s="38" t="str">
        <f>imperial!F3</f>
        <v>0 ft. 0 in.</v>
      </c>
      <c r="G3" s="38" t="str">
        <f>imperial!G3</f>
        <v>2 ft. 4.5 in.</v>
      </c>
      <c r="H3" s="38" t="str">
        <f>imperial!H3</f>
        <v>5 ft. 6.75 in.</v>
      </c>
      <c r="I3" s="38" t="str">
        <f>imperial!I3</f>
        <v>8 ft. 9 in.</v>
      </c>
      <c r="J3" s="38" t="str">
        <f>imperial!J3</f>
        <v>11 ft. 11.25 in.</v>
      </c>
      <c r="K3" s="38" t="str">
        <f>imperial!K3</f>
        <v>15 ft. 1.5 in.</v>
      </c>
      <c r="L3" s="38" t="str">
        <f>imperial!L3</f>
        <v>18 ft. 3.75 in.</v>
      </c>
      <c r="M3" s="38" t="str">
        <f>imperial!M3</f>
        <v>21 ft. 6 in.</v>
      </c>
      <c r="N3" s="38" t="str">
        <f>imperial!N3</f>
        <v>24 ft. 8.25 in.</v>
      </c>
      <c r="O3" s="38" t="str">
        <f>imperial!O3</f>
        <v>27 ft. 10.5 in.</v>
      </c>
      <c r="P3" s="38" t="str">
        <f>imperial!P3</f>
        <v>31 ft. 0.75 in.</v>
      </c>
      <c r="Q3" s="38" t="str">
        <f>imperial!Q3</f>
        <v>34 ft. 3 in.</v>
      </c>
      <c r="R3" s="38" t="str">
        <f>imperial!R3</f>
        <v>38 ft. 7.5 in.</v>
      </c>
    </row>
    <row r="4" spans="2:18" ht="15" thickBot="1" x14ac:dyDescent="0.4">
      <c r="B4" s="40"/>
      <c r="C4" s="41"/>
      <c r="D4" s="41"/>
      <c r="E4" s="41"/>
      <c r="F4" s="46">
        <f>imperial!F4*$B$1</f>
        <v>0</v>
      </c>
      <c r="G4" s="46">
        <f>imperial!G4*$B$1</f>
        <v>723.9</v>
      </c>
      <c r="H4" s="46">
        <f>imperial!H4*$B$1</f>
        <v>1695.4499999999998</v>
      </c>
      <c r="I4" s="46">
        <f>imperial!I4*$B$1</f>
        <v>2667</v>
      </c>
      <c r="J4" s="46">
        <f>imperial!J4*$B$1</f>
        <v>3638.5499999999997</v>
      </c>
      <c r="K4" s="46">
        <f>imperial!K4*$B$1</f>
        <v>4610.0999999999995</v>
      </c>
      <c r="L4" s="46">
        <f>imperial!L4*$B$1</f>
        <v>5581.65</v>
      </c>
      <c r="M4" s="46">
        <f>imperial!M4*$B$1</f>
        <v>6553.2</v>
      </c>
      <c r="N4" s="46">
        <f>imperial!N4*$B$1</f>
        <v>7524.75</v>
      </c>
      <c r="O4" s="46">
        <f>imperial!O4*$B$1</f>
        <v>8496.2999999999993</v>
      </c>
      <c r="P4" s="46">
        <f>imperial!P4*$B$1</f>
        <v>9467.85</v>
      </c>
      <c r="Q4" s="46">
        <f>imperial!Q4*$B$1</f>
        <v>10439.4</v>
      </c>
      <c r="R4" s="46">
        <f>imperial!R4*$B$1</f>
        <v>11772.9</v>
      </c>
    </row>
    <row r="5" spans="2:18" x14ac:dyDescent="0.35">
      <c r="B5" s="36" t="s">
        <v>19</v>
      </c>
      <c r="C5" s="44"/>
      <c r="D5" s="44"/>
      <c r="E5" s="44"/>
      <c r="F5" s="38" t="str">
        <f>imperial!F5</f>
        <v>38 ft. 7.5 in.</v>
      </c>
      <c r="G5" s="38" t="str">
        <f>imperial!G5</f>
        <v>36 ft. 3 in.</v>
      </c>
      <c r="H5" s="38" t="str">
        <f>imperial!H5</f>
        <v>33 ft. 0.75 in.</v>
      </c>
      <c r="I5" s="38" t="str">
        <f>imperial!I5</f>
        <v>29 ft. 10.5 in.</v>
      </c>
      <c r="J5" s="38" t="str">
        <f>imperial!J5</f>
        <v>26 ft. 8.25 in.</v>
      </c>
      <c r="K5" s="38" t="str">
        <f>imperial!K5</f>
        <v>23 ft. 6 in.</v>
      </c>
      <c r="L5" s="38" t="str">
        <f>imperial!L5</f>
        <v>20 ft. 3.75 in.</v>
      </c>
      <c r="M5" s="38" t="str">
        <f>imperial!M5</f>
        <v>17 ft. 1.5 in.</v>
      </c>
      <c r="N5" s="38" t="str">
        <f>imperial!N5</f>
        <v>13 ft. 11.25 in.</v>
      </c>
      <c r="O5" s="38" t="str">
        <f>imperial!O5</f>
        <v>10 ft. 9 in.</v>
      </c>
      <c r="P5" s="38" t="str">
        <f>imperial!P5</f>
        <v>7 ft. 6.75 in.</v>
      </c>
      <c r="Q5" s="38" t="str">
        <f>imperial!Q5</f>
        <v>4 ft. 4.5 in.</v>
      </c>
      <c r="R5" s="38" t="str">
        <f>imperial!R5</f>
        <v>0 ft. 0 in.</v>
      </c>
    </row>
    <row r="6" spans="2:18" ht="15" thickBot="1" x14ac:dyDescent="0.4">
      <c r="B6" s="40"/>
      <c r="C6" s="41"/>
      <c r="D6" s="41"/>
      <c r="E6" s="41"/>
      <c r="F6" s="46">
        <f>imperial!F6*$B$1</f>
        <v>11772.9</v>
      </c>
      <c r="G6" s="46">
        <f>imperial!G6*$B$1</f>
        <v>11049</v>
      </c>
      <c r="H6" s="46">
        <f>imperial!H6*$B$1</f>
        <v>10077.449999999999</v>
      </c>
      <c r="I6" s="46">
        <f>imperial!I6*$B$1</f>
        <v>9105.9</v>
      </c>
      <c r="J6" s="46">
        <f>imperial!J6*$B$1</f>
        <v>8134.3499999999995</v>
      </c>
      <c r="K6" s="46">
        <f>imperial!K6*$B$1</f>
        <v>7162.7999999999993</v>
      </c>
      <c r="L6" s="46">
        <f>imperial!L6*$B$1</f>
        <v>6191.25</v>
      </c>
      <c r="M6" s="46">
        <f>imperial!M6*$B$1</f>
        <v>5219.7</v>
      </c>
      <c r="N6" s="46">
        <f>imperial!N6*$B$1</f>
        <v>4248.1499999999996</v>
      </c>
      <c r="O6" s="46">
        <f>imperial!O6*$B$1</f>
        <v>3276.6</v>
      </c>
      <c r="P6" s="46">
        <f>imperial!P6*$B$1</f>
        <v>2305.0499999999997</v>
      </c>
      <c r="Q6" s="46">
        <f>imperial!Q6*$B$1</f>
        <v>1333.5</v>
      </c>
      <c r="R6" s="46">
        <f>imperial!R6*$B$1</f>
        <v>0</v>
      </c>
    </row>
    <row r="7" spans="2:18" x14ac:dyDescent="0.35">
      <c r="C7" s="2"/>
      <c r="D7" s="2"/>
      <c r="E7" s="2"/>
    </row>
    <row r="8" spans="2:18" s="1" customFormat="1" ht="15" thickBot="1" x14ac:dyDescent="0.4">
      <c r="G8" s="1" t="s">
        <v>20</v>
      </c>
    </row>
    <row r="9" spans="2:18" s="2" customFormat="1" x14ac:dyDescent="0.35">
      <c r="B9" s="2" t="s">
        <v>21</v>
      </c>
      <c r="F9" s="2" t="s">
        <v>11</v>
      </c>
      <c r="G9" s="14" t="s">
        <v>8</v>
      </c>
      <c r="H9" s="2" t="s">
        <v>9</v>
      </c>
      <c r="I9" s="2" t="s">
        <v>10</v>
      </c>
      <c r="J9" s="2" t="s">
        <v>2</v>
      </c>
      <c r="K9" s="2" t="s">
        <v>3</v>
      </c>
      <c r="L9" s="2" t="s">
        <v>4</v>
      </c>
      <c r="M9" s="2" t="s">
        <v>5</v>
      </c>
      <c r="N9" s="2" t="s">
        <v>6</v>
      </c>
      <c r="O9" s="2" t="s">
        <v>7</v>
      </c>
      <c r="P9" s="2" t="s">
        <v>1</v>
      </c>
      <c r="Q9" s="2" t="s">
        <v>0</v>
      </c>
      <c r="R9" s="2" t="s">
        <v>13</v>
      </c>
    </row>
    <row r="10" spans="2:18" ht="15" thickBot="1" x14ac:dyDescent="0.4">
      <c r="G10" s="15"/>
    </row>
    <row r="11" spans="2:18" s="3" customFormat="1" x14ac:dyDescent="0.35">
      <c r="B11" s="25" t="s">
        <v>12</v>
      </c>
      <c r="C11" s="26"/>
      <c r="D11" s="26"/>
      <c r="E11" s="26"/>
      <c r="F11" s="27" t="str">
        <f>imperial!F11</f>
        <v>-3 ft. 7.5 in.</v>
      </c>
      <c r="G11" s="28" t="str">
        <f>imperial!G11</f>
        <v>0 ft. 0 in.</v>
      </c>
      <c r="H11" s="27" t="str">
        <f>imperial!H11</f>
        <v>3 ft. 2.25 in.</v>
      </c>
      <c r="I11" s="27" t="str">
        <f>imperial!I11</f>
        <v>6 ft. 4.5 in.</v>
      </c>
      <c r="J11" s="27" t="str">
        <f>imperial!J11</f>
        <v>9 ft. 6.75 in.</v>
      </c>
      <c r="K11" s="27" t="str">
        <f>imperial!K11</f>
        <v>12 ft. 9 in.</v>
      </c>
      <c r="L11" s="27" t="str">
        <f>imperial!L11</f>
        <v>15 ft. 11.25 in.</v>
      </c>
      <c r="M11" s="27" t="str">
        <f>imperial!M11</f>
        <v>19 ft. 1.5 in.</v>
      </c>
      <c r="N11" s="27" t="str">
        <f>imperial!N11</f>
        <v>22 ft. 3.75 in.</v>
      </c>
      <c r="O11" s="27" t="str">
        <f>imperial!O11</f>
        <v>25 ft. 6 in.</v>
      </c>
      <c r="P11" s="27" t="str">
        <f>imperial!P11</f>
        <v>28 ft. 8.25 in.</v>
      </c>
      <c r="Q11" s="27" t="str">
        <f>imperial!Q11</f>
        <v>31 ft. 10.5 in.</v>
      </c>
      <c r="R11" s="27" t="str">
        <f>imperial!R11</f>
        <v>36 ft. 3 in.</v>
      </c>
    </row>
    <row r="12" spans="2:18" ht="15" thickBot="1" x14ac:dyDescent="0.4">
      <c r="B12" s="58" t="s">
        <v>23</v>
      </c>
      <c r="C12" s="31"/>
      <c r="D12" s="31"/>
      <c r="E12" s="31"/>
      <c r="F12" s="47">
        <f>imperial!F12*$B$1</f>
        <v>-723.9</v>
      </c>
      <c r="G12" s="54">
        <f>imperial!G12*$B$1</f>
        <v>0</v>
      </c>
      <c r="H12" s="47">
        <f>imperial!H12*$B$1</f>
        <v>971.55</v>
      </c>
      <c r="I12" s="47">
        <f>imperial!I12*$B$1</f>
        <v>1943.1</v>
      </c>
      <c r="J12" s="47">
        <f>imperial!J12*$B$1</f>
        <v>2914.6499999999996</v>
      </c>
      <c r="K12" s="47">
        <f>imperial!K12*$B$1</f>
        <v>3886.2</v>
      </c>
      <c r="L12" s="47">
        <f>imperial!L12*$B$1</f>
        <v>4857.75</v>
      </c>
      <c r="M12" s="47">
        <f>imperial!M12*$B$1</f>
        <v>5829.2999999999993</v>
      </c>
      <c r="N12" s="47">
        <f>imperial!N12*$B$1</f>
        <v>6800.8499999999995</v>
      </c>
      <c r="O12" s="47">
        <f>imperial!O12*$B$1</f>
        <v>7772.4</v>
      </c>
      <c r="P12" s="47">
        <f>imperial!P12*$B$1</f>
        <v>8743.9499999999989</v>
      </c>
      <c r="Q12" s="47">
        <f>imperial!Q12*$B$1</f>
        <v>9715.5</v>
      </c>
      <c r="R12" s="47">
        <f>imperial!R12*$B$1</f>
        <v>11049</v>
      </c>
    </row>
    <row r="13" spans="2:18" x14ac:dyDescent="0.35">
      <c r="G13" s="15"/>
    </row>
    <row r="14" spans="2:18" x14ac:dyDescent="0.35">
      <c r="B14" s="5"/>
      <c r="G14" s="15"/>
    </row>
    <row r="15" spans="2:18" x14ac:dyDescent="0.35">
      <c r="B15" s="5"/>
      <c r="F15" s="4"/>
      <c r="G15" s="15"/>
    </row>
    <row r="16" spans="2:18" x14ac:dyDescent="0.35">
      <c r="B16" s="5"/>
      <c r="F16" s="4"/>
      <c r="G16" s="15"/>
      <c r="K16" s="61">
        <f>K18*2</f>
        <v>3657.6</v>
      </c>
    </row>
    <row r="17" spans="1:19" x14ac:dyDescent="0.35">
      <c r="B17" s="59" t="s">
        <v>24</v>
      </c>
      <c r="C17" s="59" t="s">
        <v>35</v>
      </c>
      <c r="D17" s="60" t="s">
        <v>25</v>
      </c>
      <c r="E17" s="60" t="s">
        <v>26</v>
      </c>
      <c r="F17" s="4"/>
      <c r="G17" s="15"/>
    </row>
    <row r="18" spans="1:19" x14ac:dyDescent="0.35">
      <c r="B18" s="48">
        <f>imperial!B18*$B$1</f>
        <v>2895.6</v>
      </c>
      <c r="C18" s="4" t="str">
        <f>imperial!C18</f>
        <v>9 ft. 6 in.</v>
      </c>
      <c r="D18" s="49" t="str">
        <f>imperial!D18</f>
        <v>4 ft. 0 in.</v>
      </c>
      <c r="E18" s="50">
        <f>imperial!E18*$B$1</f>
        <v>1219.1999999999998</v>
      </c>
      <c r="F18" s="48"/>
      <c r="G18" s="55">
        <f>imperial!G18*$B$1</f>
        <v>965.19999999999993</v>
      </c>
      <c r="H18" s="48">
        <f>imperial!H18*$B$1</f>
        <v>1422.3999999999999</v>
      </c>
      <c r="I18" s="48">
        <f>imperial!I18*$B$1</f>
        <v>1651</v>
      </c>
      <c r="J18" s="48">
        <f>imperial!J18*$B$1</f>
        <v>1752.6</v>
      </c>
      <c r="K18" s="48">
        <f>imperial!K18*$B$1</f>
        <v>1828.8</v>
      </c>
      <c r="L18" s="48">
        <f>imperial!L18*$B$1</f>
        <v>1828.8</v>
      </c>
      <c r="M18" s="48">
        <f>imperial!M18*$B$1</f>
        <v>1752.6</v>
      </c>
      <c r="N18" s="48">
        <f>imperial!N18*$B$1</f>
        <v>1651</v>
      </c>
      <c r="O18" s="48">
        <f>imperial!O18*$B$1</f>
        <v>1447.8</v>
      </c>
      <c r="P18" s="48">
        <f>imperial!P18*$B$1</f>
        <v>1143</v>
      </c>
      <c r="Q18" s="48">
        <f>imperial!Q18*$B$1</f>
        <v>711.19999999999993</v>
      </c>
      <c r="R18" s="48">
        <f>imperial!R18*$B$1</f>
        <v>114.3</v>
      </c>
    </row>
    <row r="19" spans="1:19" x14ac:dyDescent="0.35">
      <c r="B19" s="48">
        <f>imperial!B19*$B$1</f>
        <v>2590.7999999999997</v>
      </c>
      <c r="C19" s="4" t="str">
        <f>imperial!C19</f>
        <v>8 ft. 6 in.</v>
      </c>
      <c r="D19" s="49" t="str">
        <f>imperial!D19</f>
        <v>3 ft. 0 in.</v>
      </c>
      <c r="E19" s="50">
        <f>imperial!E19*$B$1</f>
        <v>914.4</v>
      </c>
      <c r="F19" s="48">
        <f>imperial!F19*$B$1</f>
        <v>0</v>
      </c>
      <c r="G19" s="55">
        <f>imperial!G19*$B$1</f>
        <v>990.59999999999991</v>
      </c>
      <c r="H19" s="48">
        <f>imperial!H19*$B$1</f>
        <v>1447.8</v>
      </c>
      <c r="I19" s="48">
        <f>imperial!I19*$B$1</f>
        <v>1651</v>
      </c>
      <c r="J19" s="48">
        <f>imperial!J19*$B$1</f>
        <v>1778</v>
      </c>
      <c r="K19" s="48">
        <f>imperial!K19*$B$1</f>
        <v>1828.8</v>
      </c>
      <c r="L19" s="48">
        <f>imperial!L19*$B$1</f>
        <v>1828.8</v>
      </c>
      <c r="M19" s="48">
        <f>imperial!M19*$B$1</f>
        <v>1739.8999999999999</v>
      </c>
      <c r="N19" s="48">
        <f>imperial!N19*$B$1</f>
        <v>1600.1999999999998</v>
      </c>
      <c r="O19" s="48">
        <f>imperial!O19*$B$1</f>
        <v>1371.6</v>
      </c>
      <c r="P19" s="48">
        <f>imperial!P19*$B$1</f>
        <v>990.59999999999991</v>
      </c>
      <c r="Q19" s="48">
        <f>imperial!Q19*$B$1</f>
        <v>533.4</v>
      </c>
      <c r="R19" s="48"/>
    </row>
    <row r="20" spans="1:19" x14ac:dyDescent="0.35">
      <c r="B20" s="48">
        <f>imperial!B20*$B$1</f>
        <v>2286</v>
      </c>
      <c r="C20" s="4" t="str">
        <f>imperial!C20</f>
        <v>7 ft. 6 in.</v>
      </c>
      <c r="D20" s="49" t="str">
        <f>imperial!D20</f>
        <v>2 ft. 0 in.</v>
      </c>
      <c r="E20" s="50">
        <f>imperial!E20*$B$1</f>
        <v>609.59999999999991</v>
      </c>
      <c r="F20" s="48"/>
      <c r="G20" s="55">
        <f>imperial!G20*$B$1</f>
        <v>965.19999999999993</v>
      </c>
      <c r="H20" s="48">
        <f>imperial!H20*$B$1</f>
        <v>1422.3999999999999</v>
      </c>
      <c r="I20" s="48">
        <f>imperial!I20*$B$1</f>
        <v>1638.3</v>
      </c>
      <c r="J20" s="48">
        <f>imperial!J20*$B$1</f>
        <v>1778</v>
      </c>
      <c r="K20" s="48">
        <f>imperial!K20*$B$1</f>
        <v>1828.8</v>
      </c>
      <c r="L20" s="48">
        <f>imperial!L20*$B$1</f>
        <v>1803.3999999999999</v>
      </c>
      <c r="M20" s="48">
        <f>imperial!M20*$B$1</f>
        <v>1701.8</v>
      </c>
      <c r="N20" s="48">
        <f>imperial!N20*$B$1</f>
        <v>1524</v>
      </c>
      <c r="O20" s="48">
        <f>imperial!O20*$B$1</f>
        <v>1244.5999999999999</v>
      </c>
      <c r="P20" s="48">
        <f>imperial!P20*$B$1</f>
        <v>838.19999999999993</v>
      </c>
      <c r="Q20" s="48">
        <f>imperial!Q20*$B$1</f>
        <v>355.59999999999997</v>
      </c>
      <c r="R20" s="48"/>
    </row>
    <row r="21" spans="1:19" ht="15" thickBot="1" x14ac:dyDescent="0.4">
      <c r="B21" s="48">
        <f>imperial!B21*$B$1</f>
        <v>1981.1999999999998</v>
      </c>
      <c r="C21" s="4" t="str">
        <f>imperial!C21</f>
        <v>6 ft. 6 in.</v>
      </c>
      <c r="D21" s="49" t="str">
        <f>imperial!D21</f>
        <v>1 ft. 0 in.</v>
      </c>
      <c r="E21" s="50">
        <f>imperial!E21*$B$1</f>
        <v>304.79999999999995</v>
      </c>
      <c r="F21" s="48"/>
      <c r="G21" s="55">
        <f>imperial!G21*$B$1</f>
        <v>685.8</v>
      </c>
      <c r="H21" s="48">
        <f>imperial!H21*$B$1</f>
        <v>1295.3999999999999</v>
      </c>
      <c r="I21" s="48">
        <f>imperial!I21*$B$1</f>
        <v>1574.8</v>
      </c>
      <c r="J21" s="48">
        <f>imperial!J21*$B$1</f>
        <v>1727.1999999999998</v>
      </c>
      <c r="K21" s="48">
        <f>imperial!K21*$B$1</f>
        <v>1803.3999999999999</v>
      </c>
      <c r="L21" s="48">
        <f>imperial!L21*$B$1</f>
        <v>1752.6</v>
      </c>
      <c r="M21" s="48">
        <f>imperial!M21*$B$1</f>
        <v>1651</v>
      </c>
      <c r="N21" s="48">
        <f>imperial!N21*$B$1</f>
        <v>1409.6999999999998</v>
      </c>
      <c r="O21" s="48">
        <f>imperial!O21*$B$1</f>
        <v>1092.2</v>
      </c>
      <c r="P21" s="48">
        <f>imperial!P21*$B$1</f>
        <v>660.4</v>
      </c>
      <c r="Q21" s="48">
        <f>imperial!Q21*$B$1</f>
        <v>177.79999999999998</v>
      </c>
      <c r="R21" s="48"/>
    </row>
    <row r="22" spans="1:19" ht="15" thickBot="1" x14ac:dyDescent="0.4">
      <c r="A22" s="17" t="s">
        <v>14</v>
      </c>
      <c r="B22" s="51">
        <f>imperial!B22*$B$1</f>
        <v>1676.3999999999999</v>
      </c>
      <c r="C22" s="19" t="str">
        <f>imperial!C22</f>
        <v>5 ft. 6 in.</v>
      </c>
      <c r="D22" s="52" t="str">
        <f>imperial!D22</f>
        <v>0 ft. 0 in.</v>
      </c>
      <c r="E22" s="53">
        <f>imperial!E22*$B$1</f>
        <v>0</v>
      </c>
      <c r="F22" s="51"/>
      <c r="G22" s="56"/>
      <c r="H22" s="51">
        <f>imperial!H22*$B$1</f>
        <v>965.19999999999993</v>
      </c>
      <c r="I22" s="51">
        <f>imperial!I22*$B$1</f>
        <v>1371.6</v>
      </c>
      <c r="J22" s="51">
        <f>imperial!J22*$B$1</f>
        <v>1600.1999999999998</v>
      </c>
      <c r="K22" s="51">
        <f>imperial!K22*$B$1</f>
        <v>1676.3999999999999</v>
      </c>
      <c r="L22" s="51">
        <f>imperial!L22*$B$1</f>
        <v>1638.3</v>
      </c>
      <c r="M22" s="51">
        <f>imperial!M22*$B$1</f>
        <v>1524</v>
      </c>
      <c r="N22" s="51">
        <f>imperial!N22*$B$1</f>
        <v>1231.8999999999999</v>
      </c>
      <c r="O22" s="51">
        <f>imperial!O22*$B$1</f>
        <v>863.59999999999991</v>
      </c>
      <c r="P22" s="51">
        <f>imperial!P22*$B$1</f>
        <v>431.79999999999995</v>
      </c>
      <c r="Q22" s="51"/>
      <c r="R22" s="51"/>
      <c r="S22" s="24" t="s">
        <v>20</v>
      </c>
    </row>
    <row r="23" spans="1:19" x14ac:dyDescent="0.35">
      <c r="B23" s="48">
        <f>imperial!B23*$B$1</f>
        <v>1371.6</v>
      </c>
      <c r="C23" s="4" t="str">
        <f>imperial!C23</f>
        <v>4 ft. 6 in.</v>
      </c>
      <c r="D23" s="49" t="str">
        <f>imperial!D23</f>
        <v>-1 ft. 0 in.</v>
      </c>
      <c r="E23" s="50">
        <f>imperial!E23*$B$1</f>
        <v>-304.79999999999995</v>
      </c>
      <c r="F23" s="48"/>
      <c r="G23" s="55"/>
      <c r="H23" s="48">
        <f>imperial!H23*$B$1</f>
        <v>304.79999999999995</v>
      </c>
      <c r="I23" s="48">
        <f>imperial!I23*$B$1</f>
        <v>965.19999999999993</v>
      </c>
      <c r="J23" s="48">
        <f>imperial!J23*$B$1</f>
        <v>1270</v>
      </c>
      <c r="K23" s="48">
        <f>imperial!K23*$B$1</f>
        <v>1397</v>
      </c>
      <c r="L23" s="48">
        <f>imperial!L23*$B$1</f>
        <v>1371.6</v>
      </c>
      <c r="M23" s="48">
        <f>imperial!M23*$B$1</f>
        <v>1219.1999999999998</v>
      </c>
      <c r="N23" s="48">
        <f>imperial!N23*$B$1</f>
        <v>901.69999999999993</v>
      </c>
      <c r="O23" s="48">
        <f>imperial!O23*$B$1</f>
        <v>533.4</v>
      </c>
      <c r="P23" s="48">
        <f>imperial!P23*$B$1</f>
        <v>177.79999999999998</v>
      </c>
      <c r="Q23" s="48"/>
      <c r="R23" s="48"/>
    </row>
    <row r="24" spans="1:19" x14ac:dyDescent="0.35">
      <c r="B24" s="48">
        <f>imperial!B24*$B$1</f>
        <v>1066.8</v>
      </c>
      <c r="C24" s="4" t="str">
        <f>imperial!C24</f>
        <v>3 ft. 6 in.</v>
      </c>
      <c r="D24" s="49" t="str">
        <f>imperial!D24</f>
        <v>-2 ft. 0 in.</v>
      </c>
      <c r="E24" s="50">
        <f>imperial!E24*$B$1</f>
        <v>-609.59999999999991</v>
      </c>
      <c r="F24" s="48"/>
      <c r="G24" s="55"/>
      <c r="H24" s="48"/>
      <c r="I24" s="48">
        <f>imperial!I24*$B$1</f>
        <v>25.4</v>
      </c>
      <c r="J24" s="48">
        <f>imperial!J24*$B$1</f>
        <v>406.4</v>
      </c>
      <c r="K24" s="48">
        <f>imperial!K24*$B$1</f>
        <v>685.8</v>
      </c>
      <c r="L24" s="48">
        <f>imperial!L24*$B$1</f>
        <v>711.19999999999993</v>
      </c>
      <c r="M24" s="48">
        <f>imperial!M24*$B$1</f>
        <v>457.2</v>
      </c>
      <c r="N24" s="48">
        <f>imperial!N24*$B$1</f>
        <v>228.6</v>
      </c>
      <c r="O24" s="48">
        <f>imperial!O24*$B$1</f>
        <v>25.4</v>
      </c>
      <c r="P24" s="48"/>
      <c r="Q24" s="48"/>
      <c r="R24" s="48"/>
    </row>
    <row r="25" spans="1:19" x14ac:dyDescent="0.35">
      <c r="B25" s="48">
        <f>imperial!B25*$B$1</f>
        <v>762</v>
      </c>
      <c r="C25" s="4" t="str">
        <f>imperial!C25</f>
        <v>2 ft. 6 in.</v>
      </c>
      <c r="D25" s="49" t="str">
        <f>imperial!D25</f>
        <v>-3 ft. 0 in.</v>
      </c>
      <c r="E25" s="50">
        <f>imperial!E25*$B$1</f>
        <v>-914.4</v>
      </c>
      <c r="G25" s="15"/>
    </row>
    <row r="26" spans="1:19" x14ac:dyDescent="0.35">
      <c r="B26" s="48">
        <f>imperial!B26*$B$1</f>
        <v>457.2</v>
      </c>
      <c r="C26" s="4" t="str">
        <f>imperial!C26</f>
        <v>1 ft. 6 in.</v>
      </c>
      <c r="D26" s="49" t="str">
        <f>imperial!D26</f>
        <v>-4 ft. 0 in.</v>
      </c>
      <c r="E26" s="50">
        <f>imperial!E26*$B$1</f>
        <v>-1219.1999999999998</v>
      </c>
      <c r="G26" s="15"/>
    </row>
    <row r="27" spans="1:19" x14ac:dyDescent="0.35">
      <c r="B27" s="48">
        <f>imperial!B27*$B$1</f>
        <v>152.39999999999998</v>
      </c>
      <c r="C27" s="4" t="str">
        <f>imperial!C27</f>
        <v>0 ft. 6 in.</v>
      </c>
      <c r="D27" s="49" t="str">
        <f>imperial!D27</f>
        <v>-5 ft. 0 in.</v>
      </c>
      <c r="E27" s="50">
        <f>imperial!E27*$B$1</f>
        <v>-1524</v>
      </c>
      <c r="G27" s="15"/>
    </row>
    <row r="28" spans="1:19" ht="15" thickBot="1" x14ac:dyDescent="0.4">
      <c r="B28" s="48">
        <f>imperial!B28*$B$1</f>
        <v>0</v>
      </c>
      <c r="C28" s="4" t="str">
        <f>imperial!C28</f>
        <v>0 ft. 0 in.</v>
      </c>
      <c r="D28" s="49" t="str">
        <f>imperial!D28</f>
        <v>-5ft 6 in</v>
      </c>
      <c r="E28" s="50">
        <f>imperial!E28*$B$1</f>
        <v>-1676.3999999999999</v>
      </c>
      <c r="G28" s="16"/>
    </row>
    <row r="32" spans="1:19" x14ac:dyDescent="0.35">
      <c r="B32" s="57" t="s">
        <v>27</v>
      </c>
    </row>
    <row r="33" spans="2:2" x14ac:dyDescent="0.35">
      <c r="B33" s="57" t="s">
        <v>28</v>
      </c>
    </row>
    <row r="34" spans="2:2" x14ac:dyDescent="0.35">
      <c r="B34" s="57" t="s">
        <v>29</v>
      </c>
    </row>
    <row r="35" spans="2:2" x14ac:dyDescent="0.35">
      <c r="B35" s="57" t="s">
        <v>30</v>
      </c>
    </row>
    <row r="36" spans="2:2" x14ac:dyDescent="0.35">
      <c r="B36" s="57" t="s">
        <v>31</v>
      </c>
    </row>
    <row r="37" spans="2:2" x14ac:dyDescent="0.35">
      <c r="B37" s="57" t="s">
        <v>32</v>
      </c>
    </row>
    <row r="38" spans="2:2" x14ac:dyDescent="0.35">
      <c r="B38" s="57" t="s">
        <v>33</v>
      </c>
    </row>
    <row r="39" spans="2:2" x14ac:dyDescent="0.35">
      <c r="B39" s="57" t="s">
        <v>34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DE04F-54FD-4017-ABA6-9F5AB06C11B3}">
  <dimension ref="B1:P30"/>
  <sheetViews>
    <sheetView workbookViewId="0">
      <selection activeCell="E31" sqref="E31"/>
    </sheetView>
  </sheetViews>
  <sheetFormatPr defaultRowHeight="14.5" x14ac:dyDescent="0.35"/>
  <cols>
    <col min="1" max="1" width="3.36328125" customWidth="1"/>
    <col min="2" max="2" width="8.7265625" style="3"/>
    <col min="3" max="3" width="14.1796875" customWidth="1"/>
    <col min="4" max="4" width="17.7265625" customWidth="1"/>
    <col min="5" max="5" width="14.26953125" customWidth="1"/>
    <col min="6" max="6" width="10.08984375" bestFit="1" customWidth="1"/>
    <col min="7" max="7" width="45.26953125" customWidth="1"/>
    <col min="8" max="8" width="8.7265625" customWidth="1"/>
    <col min="9" max="9" width="10.7265625" customWidth="1"/>
    <col min="10" max="10" width="13.26953125" customWidth="1"/>
    <col min="11" max="12" width="16.08984375" customWidth="1"/>
    <col min="13" max="15" width="12.26953125" customWidth="1"/>
    <col min="16" max="16" width="18.26953125" customWidth="1"/>
  </cols>
  <sheetData>
    <row r="1" spans="2:16" x14ac:dyDescent="0.35">
      <c r="E1" s="75">
        <v>2.2046230000000002</v>
      </c>
      <c r="F1" s="75">
        <v>0.453592</v>
      </c>
      <c r="L1" s="75">
        <v>25.4</v>
      </c>
    </row>
    <row r="2" spans="2:16" ht="58" x14ac:dyDescent="0.35">
      <c r="B2" s="3" t="s">
        <v>74</v>
      </c>
      <c r="C2" t="s">
        <v>73</v>
      </c>
      <c r="D2" t="s">
        <v>72</v>
      </c>
      <c r="E2" s="73" t="s">
        <v>71</v>
      </c>
      <c r="G2" t="s">
        <v>70</v>
      </c>
      <c r="H2" s="73" t="s">
        <v>69</v>
      </c>
      <c r="I2" s="73" t="s">
        <v>68</v>
      </c>
      <c r="J2" s="73" t="s">
        <v>67</v>
      </c>
      <c r="K2" s="73" t="s">
        <v>66</v>
      </c>
      <c r="L2" s="73" t="s">
        <v>66</v>
      </c>
      <c r="M2" s="73" t="s">
        <v>65</v>
      </c>
      <c r="N2" s="73" t="s">
        <v>65</v>
      </c>
      <c r="O2" s="73" t="s">
        <v>65</v>
      </c>
      <c r="P2" s="73" t="s">
        <v>106</v>
      </c>
    </row>
    <row r="3" spans="2:16" ht="15" thickBot="1" x14ac:dyDescent="0.4">
      <c r="B3" s="74"/>
      <c r="C3" s="42"/>
      <c r="D3" s="42"/>
      <c r="E3" s="42" t="s">
        <v>63</v>
      </c>
      <c r="F3" s="42" t="s">
        <v>64</v>
      </c>
      <c r="G3" s="42"/>
      <c r="H3" s="42" t="s">
        <v>64</v>
      </c>
      <c r="I3" s="42" t="s">
        <v>63</v>
      </c>
      <c r="J3" s="42" t="s">
        <v>63</v>
      </c>
      <c r="K3" s="42" t="s">
        <v>60</v>
      </c>
      <c r="L3" s="42" t="s">
        <v>62</v>
      </c>
      <c r="M3" s="42" t="s">
        <v>62</v>
      </c>
      <c r="N3" s="42" t="s">
        <v>61</v>
      </c>
      <c r="O3" s="42" t="s">
        <v>60</v>
      </c>
      <c r="P3" s="42"/>
    </row>
    <row r="5" spans="2:16" x14ac:dyDescent="0.35">
      <c r="B5" s="3">
        <v>0</v>
      </c>
      <c r="C5" t="s">
        <v>59</v>
      </c>
      <c r="D5" t="s">
        <v>58</v>
      </c>
      <c r="E5" s="71">
        <f>F5/$E$1</f>
        <v>14424.234891861328</v>
      </c>
      <c r="F5" s="62">
        <v>31800</v>
      </c>
      <c r="G5" t="s">
        <v>57</v>
      </c>
      <c r="H5" s="69">
        <v>9000</v>
      </c>
      <c r="I5" s="97">
        <v>0</v>
      </c>
      <c r="J5" s="71">
        <f>E5+I5</f>
        <v>14424.234891861328</v>
      </c>
      <c r="K5">
        <v>0</v>
      </c>
      <c r="L5" s="68">
        <f>K5/$L$1</f>
        <v>0</v>
      </c>
      <c r="M5">
        <v>66</v>
      </c>
      <c r="N5" s="99" t="str">
        <f>INT(M5/12) &amp; " ft. " &amp; ROUND(MOD(M5,12),2) &amp; " in."</f>
        <v>5 ft. 6 in.</v>
      </c>
      <c r="O5" s="62">
        <f>M5*$L$1</f>
        <v>1676.3999999999999</v>
      </c>
    </row>
    <row r="6" spans="2:16" x14ac:dyDescent="0.35">
      <c r="E6" s="62"/>
      <c r="F6" s="62"/>
      <c r="O6" s="62"/>
    </row>
    <row r="7" spans="2:16" x14ac:dyDescent="0.35">
      <c r="B7" s="3">
        <v>123</v>
      </c>
      <c r="C7" t="s">
        <v>56</v>
      </c>
      <c r="D7" t="s">
        <v>55</v>
      </c>
      <c r="E7" s="62">
        <v>15000</v>
      </c>
      <c r="F7" s="71">
        <f>E7*$E$1</f>
        <v>33069.345000000001</v>
      </c>
      <c r="G7" s="73" t="s">
        <v>54</v>
      </c>
      <c r="H7" s="69">
        <v>9000</v>
      </c>
      <c r="I7" s="98">
        <v>-1000</v>
      </c>
      <c r="J7" s="71">
        <f>E7+I7</f>
        <v>14000</v>
      </c>
      <c r="K7">
        <v>150</v>
      </c>
      <c r="L7" s="68">
        <f>K7/$L$1</f>
        <v>5.9055118110236222</v>
      </c>
      <c r="M7" s="72">
        <v>72</v>
      </c>
      <c r="N7" s="99" t="str">
        <f>INT(M7/12) &amp; " ft. " &amp; ROUND(MOD(M7,12),2) &amp; " in."</f>
        <v>6 ft. 0 in.</v>
      </c>
      <c r="O7" s="62">
        <f>M7*$L$1</f>
        <v>1828.8</v>
      </c>
    </row>
    <row r="8" spans="2:16" x14ac:dyDescent="0.35">
      <c r="E8" s="62"/>
      <c r="F8" s="62"/>
      <c r="O8" s="62"/>
    </row>
    <row r="9" spans="2:16" x14ac:dyDescent="0.35">
      <c r="B9" s="3">
        <v>198</v>
      </c>
      <c r="C9" t="s">
        <v>53</v>
      </c>
      <c r="D9" t="s">
        <v>52</v>
      </c>
      <c r="E9" s="62">
        <v>12300</v>
      </c>
      <c r="F9" s="71">
        <f>E9*$E$1</f>
        <v>27116.862900000004</v>
      </c>
      <c r="G9" t="s">
        <v>51</v>
      </c>
      <c r="H9" s="69">
        <v>9200</v>
      </c>
      <c r="I9" s="98">
        <v>-1000</v>
      </c>
      <c r="J9" s="71">
        <f>E9+I9</f>
        <v>11300</v>
      </c>
      <c r="K9" s="68">
        <f>L9*$L$1</f>
        <v>50.8</v>
      </c>
      <c r="L9">
        <v>2</v>
      </c>
      <c r="M9">
        <v>68</v>
      </c>
      <c r="N9" s="99" t="str">
        <f>INT(M9/12) &amp; " ft. " &amp; ROUND(MOD(M9,12),2) &amp; " in."</f>
        <v>5 ft. 8 in.</v>
      </c>
      <c r="O9" s="62">
        <f>M9*$L$1</f>
        <v>1727.1999999999998</v>
      </c>
    </row>
    <row r="10" spans="2:16" x14ac:dyDescent="0.35">
      <c r="E10" s="62"/>
      <c r="F10" s="62"/>
      <c r="H10" s="69"/>
      <c r="O10" s="62"/>
    </row>
    <row r="11" spans="2:16" x14ac:dyDescent="0.35">
      <c r="B11" s="3">
        <v>27</v>
      </c>
      <c r="C11" t="s">
        <v>50</v>
      </c>
      <c r="D11" t="s">
        <v>49</v>
      </c>
      <c r="E11" s="71">
        <f>F11/$E$1</f>
        <v>11339.807304922428</v>
      </c>
      <c r="F11" s="62">
        <v>25000</v>
      </c>
      <c r="G11" t="s">
        <v>48</v>
      </c>
      <c r="H11" s="69">
        <v>9200</v>
      </c>
      <c r="I11" s="97">
        <v>-500</v>
      </c>
      <c r="J11" s="71">
        <f>E11+I11</f>
        <v>10839.807304922428</v>
      </c>
      <c r="N11" s="99"/>
      <c r="O11" s="62"/>
    </row>
    <row r="12" spans="2:16" x14ac:dyDescent="0.35">
      <c r="E12" s="62"/>
      <c r="F12" s="62"/>
      <c r="H12" s="69"/>
      <c r="O12" s="62"/>
    </row>
    <row r="13" spans="2:16" x14ac:dyDescent="0.35">
      <c r="B13" s="3">
        <v>61</v>
      </c>
      <c r="C13" t="s">
        <v>47</v>
      </c>
      <c r="D13" t="s">
        <v>46</v>
      </c>
      <c r="E13" s="71">
        <f>F13/$E$1</f>
        <v>13834.564912005362</v>
      </c>
      <c r="F13" s="62">
        <v>30500</v>
      </c>
      <c r="G13" t="s">
        <v>45</v>
      </c>
      <c r="H13" s="69">
        <v>6000</v>
      </c>
      <c r="I13" s="98">
        <v>-1000</v>
      </c>
      <c r="J13" s="71">
        <f>E13+I13</f>
        <v>12834.564912005362</v>
      </c>
      <c r="K13" s="68">
        <f>L13*$L$1</f>
        <v>203.2</v>
      </c>
      <c r="L13">
        <v>8</v>
      </c>
      <c r="M13">
        <v>74</v>
      </c>
      <c r="N13" s="99" t="str">
        <f>INT(M13/12) &amp; " ft. " &amp; ROUND(MOD(M13,12),2) &amp; " in."</f>
        <v>6 ft. 2 in.</v>
      </c>
      <c r="O13" s="62">
        <f>M13*$L$1</f>
        <v>1879.6</v>
      </c>
      <c r="P13" s="70" t="s">
        <v>44</v>
      </c>
    </row>
    <row r="14" spans="2:16" x14ac:dyDescent="0.35">
      <c r="E14" s="62"/>
      <c r="F14" s="62"/>
      <c r="H14" s="69"/>
      <c r="O14" s="62"/>
    </row>
    <row r="15" spans="2:16" x14ac:dyDescent="0.35">
      <c r="B15" s="3">
        <v>135</v>
      </c>
      <c r="C15" t="s">
        <v>43</v>
      </c>
      <c r="D15" t="s">
        <v>42</v>
      </c>
      <c r="E15" s="71">
        <f>F15/$E$1</f>
        <v>12246.991889316221</v>
      </c>
      <c r="F15" s="62">
        <v>27000</v>
      </c>
      <c r="G15" s="70" t="s">
        <v>39</v>
      </c>
      <c r="H15" s="69"/>
      <c r="J15" s="71"/>
      <c r="L15" s="70"/>
      <c r="M15" s="68"/>
      <c r="N15" s="99"/>
      <c r="O15" s="62"/>
    </row>
    <row r="16" spans="2:16" x14ac:dyDescent="0.35">
      <c r="E16" s="62"/>
      <c r="F16" s="62"/>
      <c r="H16" s="69"/>
      <c r="O16" s="62"/>
    </row>
    <row r="17" spans="2:16" x14ac:dyDescent="0.35">
      <c r="B17" s="3">
        <v>107</v>
      </c>
      <c r="C17" t="s">
        <v>41</v>
      </c>
      <c r="D17" t="s">
        <v>40</v>
      </c>
      <c r="E17" s="71">
        <f>F17/$E$1</f>
        <v>10886.21501272553</v>
      </c>
      <c r="F17" s="62">
        <v>24000</v>
      </c>
      <c r="G17" s="70" t="s">
        <v>39</v>
      </c>
      <c r="J17" s="71"/>
      <c r="L17" s="70"/>
      <c r="M17" s="68"/>
      <c r="N17" s="99"/>
      <c r="O17" s="62"/>
    </row>
    <row r="18" spans="2:16" x14ac:dyDescent="0.35">
      <c r="E18" s="62"/>
      <c r="F18" s="62"/>
      <c r="O18" s="62"/>
    </row>
    <row r="19" spans="2:16" x14ac:dyDescent="0.35">
      <c r="B19" s="3">
        <v>46</v>
      </c>
      <c r="C19" t="s">
        <v>38</v>
      </c>
      <c r="D19" t="s">
        <v>37</v>
      </c>
      <c r="E19" s="96">
        <f>E5-I19</f>
        <v>14924.234891861328</v>
      </c>
      <c r="F19" s="71">
        <f>E19*$E$1</f>
        <v>32902.311499999996</v>
      </c>
      <c r="G19" t="s">
        <v>100</v>
      </c>
      <c r="H19" s="69">
        <v>9000</v>
      </c>
      <c r="I19" s="98">
        <v>-500</v>
      </c>
      <c r="J19" s="71"/>
      <c r="K19" s="68">
        <f>L19*$L$1</f>
        <v>50.8</v>
      </c>
      <c r="L19">
        <v>2</v>
      </c>
      <c r="M19" s="68">
        <f>$M$5+L19</f>
        <v>68</v>
      </c>
      <c r="N19" s="99" t="str">
        <f>INT(M19/12) &amp; " ft. " &amp; ROUND(MOD(M19,12),2) &amp; " in."</f>
        <v>5 ft. 8 in.</v>
      </c>
      <c r="O19" s="62">
        <f>M19*$L$1</f>
        <v>1727.1999999999998</v>
      </c>
    </row>
    <row r="20" spans="2:16" ht="15" thickBot="1" x14ac:dyDescent="0.4">
      <c r="E20" s="62"/>
      <c r="F20" s="62"/>
      <c r="L20" s="66"/>
    </row>
    <row r="21" spans="2:16" ht="15" thickBot="1" x14ac:dyDescent="0.4">
      <c r="B21" s="100" t="s">
        <v>107</v>
      </c>
      <c r="C21" s="92" t="s">
        <v>101</v>
      </c>
      <c r="E21" s="62"/>
      <c r="F21" s="62"/>
    </row>
    <row r="22" spans="2:16" ht="15" thickBot="1" x14ac:dyDescent="0.4">
      <c r="C22" s="93" t="s">
        <v>102</v>
      </c>
      <c r="E22" s="62"/>
      <c r="F22" s="62"/>
    </row>
    <row r="23" spans="2:16" ht="15" thickBot="1" x14ac:dyDescent="0.4">
      <c r="C23" s="23" t="s">
        <v>103</v>
      </c>
      <c r="E23" s="62"/>
      <c r="F23" s="62"/>
    </row>
    <row r="24" spans="2:16" ht="15" thickBot="1" x14ac:dyDescent="0.4">
      <c r="C24" s="94" t="s">
        <v>104</v>
      </c>
      <c r="E24" s="62"/>
      <c r="F24" s="62"/>
    </row>
    <row r="25" spans="2:16" ht="15" thickBot="1" x14ac:dyDescent="0.4">
      <c r="C25" s="95" t="s">
        <v>105</v>
      </c>
      <c r="E25" s="62"/>
      <c r="F25" s="62"/>
    </row>
    <row r="26" spans="2:16" x14ac:dyDescent="0.35">
      <c r="E26" s="62"/>
      <c r="F26" s="62"/>
    </row>
    <row r="27" spans="2:16" ht="15" thickBot="1" x14ac:dyDescent="0.4">
      <c r="B27" s="65"/>
      <c r="C27" s="64"/>
      <c r="D27" s="64"/>
      <c r="E27" s="63">
        <f>AVERAGE(E5:E21)</f>
        <v>13119.506112836525</v>
      </c>
      <c r="F27" s="63">
        <f>AVERAGE(F5:F21)</f>
        <v>28923.564924999999</v>
      </c>
      <c r="G27" s="64"/>
      <c r="H27" s="64"/>
      <c r="I27" s="64"/>
      <c r="J27" s="64"/>
      <c r="K27" s="64"/>
      <c r="L27" s="64"/>
      <c r="M27" s="63">
        <f>AVERAGE(M4:M20)</f>
        <v>69.599999999999994</v>
      </c>
      <c r="N27" s="101" t="str">
        <f>INT(M27/12) &amp; " ft. " &amp; ROUND(MOD(M27,12),2) &amp; " in."</f>
        <v>5 ft. 9.6 in.</v>
      </c>
      <c r="O27" s="63">
        <f>AVERAGE(O4:O20)</f>
        <v>1767.8400000000001</v>
      </c>
      <c r="P27" s="64"/>
    </row>
    <row r="28" spans="2:16" x14ac:dyDescent="0.35">
      <c r="F28" s="62"/>
    </row>
    <row r="29" spans="2:16" x14ac:dyDescent="0.35">
      <c r="E29" s="62"/>
      <c r="F29" s="62"/>
    </row>
    <row r="30" spans="2:16" x14ac:dyDescent="0.35">
      <c r="E30" s="62"/>
      <c r="F30" s="62"/>
    </row>
  </sheetData>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9DE0C-8930-4E63-9249-04B126C4EA35}">
  <sheetPr>
    <pageSetUpPr fitToPage="1"/>
  </sheetPr>
  <dimension ref="B1:W57"/>
  <sheetViews>
    <sheetView tabSelected="1" workbookViewId="0">
      <pane xSplit="2" ySplit="2" topLeftCell="C28" activePane="bottomRight" state="frozen"/>
      <selection pane="topRight" activeCell="C1" sqref="C1"/>
      <selection pane="bottomLeft" activeCell="A3" sqref="A3"/>
      <selection pane="bottomRight" activeCell="P33" sqref="P33"/>
    </sheetView>
  </sheetViews>
  <sheetFormatPr defaultRowHeight="14.5" x14ac:dyDescent="0.35"/>
  <cols>
    <col min="1" max="1" width="3.08984375" customWidth="1"/>
    <col min="2" max="2" width="33.26953125" customWidth="1"/>
    <col min="3" max="3" width="5.7265625" customWidth="1"/>
    <col min="4" max="6" width="14" customWidth="1"/>
    <col min="7" max="7" width="5.08984375" customWidth="1"/>
    <col min="8" max="8" width="14" customWidth="1"/>
    <col min="9" max="9" width="15" customWidth="1"/>
    <col min="10" max="10" width="14" customWidth="1"/>
    <col min="11" max="11" width="4.81640625" customWidth="1"/>
    <col min="12" max="12" width="13" customWidth="1"/>
    <col min="13" max="13" width="14.81640625" customWidth="1"/>
    <col min="14" max="14" width="13" customWidth="1"/>
    <col min="15" max="15" width="4.08984375" customWidth="1"/>
    <col min="16" max="16" width="14.6328125" customWidth="1"/>
    <col min="17" max="23" width="13" customWidth="1"/>
  </cols>
  <sheetData>
    <row r="1" spans="2:23" ht="72.5" customHeight="1" x14ac:dyDescent="0.35">
      <c r="E1" s="106" t="s">
        <v>127</v>
      </c>
      <c r="I1" s="106" t="s">
        <v>126</v>
      </c>
      <c r="K1" s="73"/>
      <c r="M1" s="106" t="s">
        <v>128</v>
      </c>
      <c r="N1" s="73"/>
      <c r="O1" s="73"/>
      <c r="P1" s="73"/>
      <c r="Q1" s="73"/>
      <c r="R1" s="73"/>
      <c r="S1" s="73"/>
      <c r="T1" s="73"/>
      <c r="U1" s="73"/>
      <c r="V1" s="73"/>
      <c r="W1" s="73"/>
    </row>
    <row r="2" spans="2:23" x14ac:dyDescent="0.35">
      <c r="D2" s="105" t="s">
        <v>75</v>
      </c>
      <c r="E2" s="85" t="s">
        <v>76</v>
      </c>
      <c r="F2" s="85" t="s">
        <v>60</v>
      </c>
      <c r="H2" s="105" t="s">
        <v>75</v>
      </c>
      <c r="I2" s="85" t="s">
        <v>76</v>
      </c>
      <c r="J2" s="85" t="s">
        <v>60</v>
      </c>
      <c r="L2" s="105" t="s">
        <v>75</v>
      </c>
      <c r="M2" s="85" t="s">
        <v>76</v>
      </c>
      <c r="N2" s="85" t="s">
        <v>60</v>
      </c>
    </row>
    <row r="3" spans="2:23" x14ac:dyDescent="0.35">
      <c r="B3" s="2" t="s">
        <v>133</v>
      </c>
    </row>
    <row r="4" spans="2:23" x14ac:dyDescent="0.35">
      <c r="B4" s="78" t="s">
        <v>108</v>
      </c>
      <c r="D4" s="110">
        <f>'mk1 cutter 46'' mast'!C2</f>
        <v>252.2</v>
      </c>
      <c r="E4" s="103" t="str">
        <f t="shared" ref="E4:E7" si="0">INT(D4/12) &amp; " ft. " &amp; ROUND(MOD(D4,12),2) &amp; " in."</f>
        <v>21 ft. 0.2 in.</v>
      </c>
      <c r="F4" s="81">
        <f>'mk1 cutter 46'' mast'!E2</f>
        <v>6405.8799999999992</v>
      </c>
      <c r="H4" s="110">
        <f>'mk1 cutter 51'' mast'!C2</f>
        <v>252.2</v>
      </c>
      <c r="I4" s="110" t="str">
        <f>'mk1 cutter 51'' mast'!D2</f>
        <v>21 ft. 0.2 in.</v>
      </c>
      <c r="J4" s="81">
        <f>'mk1 cutter 51'' mast'!E2</f>
        <v>6405.8799999999992</v>
      </c>
      <c r="L4" s="110">
        <f>'mk1 ketch 46'' mast'!C2</f>
        <v>284.2</v>
      </c>
      <c r="M4" s="110" t="str">
        <f>'mk1 ketch 46'' mast'!D2</f>
        <v>23 ft. 8.2 in.</v>
      </c>
      <c r="N4" s="81">
        <f>'mk1 ketch 46'' mast'!E2</f>
        <v>7218.6799999999994</v>
      </c>
    </row>
    <row r="5" spans="2:23" x14ac:dyDescent="0.35">
      <c r="B5" s="78" t="s">
        <v>115</v>
      </c>
      <c r="D5" s="110">
        <f>'mk1 cutter 46'' mast'!C3</f>
        <v>463.5</v>
      </c>
      <c r="E5" s="103" t="str">
        <f t="shared" si="0"/>
        <v>38 ft. 7.5 in.</v>
      </c>
      <c r="F5" s="81">
        <f>'mk1 cutter 46'' mast'!E3</f>
        <v>11772.9</v>
      </c>
      <c r="H5" s="110">
        <f>'mk1 cutter 51'' mast'!C3</f>
        <v>463.5</v>
      </c>
      <c r="I5" s="110" t="str">
        <f>'mk1 cutter 51'' mast'!D3</f>
        <v>38 ft. 7.5 in.</v>
      </c>
      <c r="J5" s="81">
        <f>'mk1 cutter 51'' mast'!E3</f>
        <v>11772.9</v>
      </c>
      <c r="L5" s="110">
        <f>'mk1 ketch 46'' mast'!C3</f>
        <v>463.5</v>
      </c>
      <c r="M5" s="110" t="str">
        <f>'mk1 ketch 46'' mast'!D3</f>
        <v>38 ft. 7.5 in.</v>
      </c>
      <c r="N5" s="81">
        <f>'mk1 ketch 46'' mast'!E3</f>
        <v>11772.9</v>
      </c>
    </row>
    <row r="6" spans="2:23" x14ac:dyDescent="0.35">
      <c r="B6" s="78" t="s">
        <v>116</v>
      </c>
      <c r="D6" s="110" t="str">
        <f>'mk1 cutter 46'' mast'!C4</f>
        <v>-</v>
      </c>
      <c r="E6" s="110" t="s">
        <v>117</v>
      </c>
      <c r="F6" s="110" t="str">
        <f>'mk1 cutter 46'' mast'!E4</f>
        <v>-</v>
      </c>
      <c r="H6" s="110" t="str">
        <f>'mk1 cutter 51'' mast'!C4</f>
        <v>-</v>
      </c>
      <c r="I6" s="110" t="str">
        <f>'mk1 cutter 51'' mast'!D4</f>
        <v>-</v>
      </c>
      <c r="J6" s="81" t="str">
        <f>'mk1 cutter 51'' mast'!E4</f>
        <v>-</v>
      </c>
      <c r="L6" s="110" t="str">
        <f>'mk1 ketch 46'' mast'!C4</f>
        <v>-</v>
      </c>
      <c r="M6" s="110" t="str">
        <f>'mk1 ketch 46'' mast'!D4</f>
        <v>-</v>
      </c>
      <c r="N6" s="81" t="str">
        <f>'mk1 ketch 46'' mast'!E4</f>
        <v>-</v>
      </c>
    </row>
    <row r="7" spans="2:23" x14ac:dyDescent="0.35">
      <c r="B7" s="78" t="s">
        <v>109</v>
      </c>
      <c r="D7" s="110">
        <f>'mk1 cutter 46'' mast'!C5</f>
        <v>54</v>
      </c>
      <c r="E7" s="103" t="str">
        <f t="shared" si="0"/>
        <v>4 ft. 6 in.</v>
      </c>
      <c r="F7" s="81">
        <f>'mk1 cutter 46'' mast'!E5</f>
        <v>1371.6</v>
      </c>
      <c r="H7" s="110">
        <f>'mk1 cutter 51'' mast'!C5</f>
        <v>54</v>
      </c>
      <c r="I7" s="110" t="str">
        <f>'mk1 cutter 51'' mast'!D5</f>
        <v>4 ft. 6 in.</v>
      </c>
      <c r="J7" s="81">
        <f>'mk1 cutter 51'' mast'!E5</f>
        <v>1371.6</v>
      </c>
      <c r="L7" s="110">
        <f>'mk1 ketch 46'' mast'!C5</f>
        <v>54</v>
      </c>
      <c r="M7" s="110" t="str">
        <f>'mk1 ketch 46'' mast'!D5</f>
        <v>4 ft. 6 in.</v>
      </c>
      <c r="N7" s="81">
        <f>'mk1 ketch 46'' mast'!E5</f>
        <v>1371.6</v>
      </c>
    </row>
    <row r="8" spans="2:23" x14ac:dyDescent="0.35">
      <c r="B8" s="78" t="s">
        <v>110</v>
      </c>
      <c r="D8" s="110">
        <f>'mk1 cutter 46'' mast'!C6</f>
        <v>62</v>
      </c>
      <c r="E8" s="103" t="str">
        <f>INT(D8/12) &amp; " ft. " &amp; ROUND(MOD(D8,12),2) &amp; " in."</f>
        <v>5 ft. 2 in.</v>
      </c>
      <c r="F8" s="81">
        <f>'mk1 cutter 46'' mast'!E6</f>
        <v>1574.8</v>
      </c>
      <c r="H8" s="110">
        <f>'mk1 cutter 51'' mast'!C6</f>
        <v>62</v>
      </c>
      <c r="I8" s="110" t="str">
        <f>'mk1 cutter 51'' mast'!D6</f>
        <v>5 ft. 2 in.</v>
      </c>
      <c r="J8" s="81">
        <f>'mk1 cutter 51'' mast'!E6</f>
        <v>1574.8</v>
      </c>
      <c r="L8" s="110">
        <f>'mk1 ketch 46'' mast'!C6</f>
        <v>62</v>
      </c>
      <c r="M8" s="110" t="str">
        <f>'mk1 ketch 46'' mast'!D6</f>
        <v>5 ft. 2 in.</v>
      </c>
      <c r="N8" s="81">
        <f>'mk1 ketch 46'' mast'!E6</f>
        <v>1574.8</v>
      </c>
    </row>
    <row r="9" spans="2:23" x14ac:dyDescent="0.35">
      <c r="B9" s="78" t="s">
        <v>113</v>
      </c>
      <c r="D9" s="110">
        <f>'mk1 cutter 46'' mast'!C7</f>
        <v>115.19999999999999</v>
      </c>
      <c r="E9" s="103" t="str">
        <f t="shared" ref="E9:E12" si="1">INT(D9/12) &amp; " ft. " &amp; ROUND(MOD(D9,12),2) &amp; " in."</f>
        <v>9 ft. 7.2 in.</v>
      </c>
      <c r="F9" s="81">
        <f>'mk1 cutter 46'' mast'!E7</f>
        <v>2926.0799999999995</v>
      </c>
      <c r="H9" s="110">
        <f>'mk1 cutter 51'' mast'!C7</f>
        <v>115.19999999999999</v>
      </c>
      <c r="I9" s="110" t="str">
        <f>'mk1 cutter 51'' mast'!D7</f>
        <v>9 ft. 7.2 in.</v>
      </c>
      <c r="J9" s="81">
        <f>'mk1 cutter 51'' mast'!E7</f>
        <v>2926.0799999999995</v>
      </c>
      <c r="L9" s="110">
        <f>'mk1 ketch 46'' mast'!C7</f>
        <v>123</v>
      </c>
      <c r="M9" s="110" t="str">
        <f>'mk1 ketch 46'' mast'!D7</f>
        <v>10 ft. 3 in.</v>
      </c>
      <c r="N9" s="81">
        <f>'mk1 ketch 46'' mast'!E7</f>
        <v>3124.2</v>
      </c>
    </row>
    <row r="10" spans="2:23" x14ac:dyDescent="0.35">
      <c r="B10" s="78" t="s">
        <v>123</v>
      </c>
      <c r="D10" s="110">
        <f>'mk1 cutter 46'' mast'!C8</f>
        <v>212.7</v>
      </c>
      <c r="E10" s="103" t="str">
        <f t="shared" si="1"/>
        <v>17 ft. 8.7 in.</v>
      </c>
      <c r="F10" s="81">
        <f>'mk1 cutter 46'' mast'!E8</f>
        <v>5402.579999999999</v>
      </c>
      <c r="H10" s="110"/>
      <c r="I10" s="110"/>
      <c r="J10" s="81"/>
      <c r="L10" s="110">
        <f>'mk1 ketch 46'' mast'!C8</f>
        <v>173</v>
      </c>
      <c r="M10" s="110" t="str">
        <f>'mk1 ketch 46'' mast'!D8</f>
        <v>14 ft. 5 in.</v>
      </c>
      <c r="N10" s="81">
        <f>'mk1 ketch 46'' mast'!E8</f>
        <v>4394.2</v>
      </c>
    </row>
    <row r="11" spans="2:23" x14ac:dyDescent="0.35">
      <c r="B11" s="78" t="s">
        <v>111</v>
      </c>
      <c r="D11" s="110">
        <f>'mk1 cutter 46'' mast'!C9</f>
        <v>552</v>
      </c>
      <c r="E11" s="103" t="str">
        <f t="shared" si="1"/>
        <v>46 ft. 0 in.</v>
      </c>
      <c r="F11" s="81">
        <f>'mk1 cutter 46'' mast'!E9</f>
        <v>14020.8</v>
      </c>
      <c r="H11" s="110">
        <f>'mk1 cutter 51'' mast'!C9</f>
        <v>612</v>
      </c>
      <c r="I11" s="110" t="str">
        <f>'mk1 cutter 51'' mast'!D9</f>
        <v>51 ft. 0 in.</v>
      </c>
      <c r="J11" s="81">
        <f>'mk1 cutter 51'' mast'!E9</f>
        <v>15544.8</v>
      </c>
      <c r="L11" s="110">
        <f>'mk1 ketch 46'' mast'!C9</f>
        <v>552</v>
      </c>
      <c r="M11" s="110" t="str">
        <f>'mk1 ketch 46'' mast'!D9</f>
        <v>46 ft. 0 in.</v>
      </c>
      <c r="N11" s="81">
        <f>'mk1 ketch 46'' mast'!E9</f>
        <v>14020.8</v>
      </c>
    </row>
    <row r="12" spans="2:23" x14ac:dyDescent="0.35">
      <c r="B12" s="78" t="s">
        <v>112</v>
      </c>
      <c r="D12" s="110">
        <f>'mk1 cutter 46'' mast'!C10</f>
        <v>606</v>
      </c>
      <c r="E12" s="103" t="str">
        <f t="shared" si="1"/>
        <v>50 ft. 6 in.</v>
      </c>
      <c r="F12" s="81">
        <f>'mk1 cutter 46'' mast'!E10</f>
        <v>15392.4</v>
      </c>
      <c r="H12" s="110">
        <f>'mk1 cutter 51'' mast'!C10</f>
        <v>606</v>
      </c>
      <c r="I12" s="110" t="str">
        <f>'mk1 cutter 51'' mast'!D10</f>
        <v>50 ft. 6 in.</v>
      </c>
      <c r="J12" s="81">
        <f>'mk1 cutter 51'' mast'!E10</f>
        <v>15392.4</v>
      </c>
      <c r="L12" s="110">
        <f>'mk1 ketch 46'' mast'!C10</f>
        <v>606</v>
      </c>
      <c r="M12" s="110" t="str">
        <f>'mk1 ketch 46'' mast'!D10</f>
        <v>50 ft. 6 in.</v>
      </c>
      <c r="N12" s="81">
        <f>'mk1 ketch 46'' mast'!E10</f>
        <v>15392.4</v>
      </c>
    </row>
    <row r="14" spans="2:23" x14ac:dyDescent="0.35">
      <c r="B14" s="78" t="s">
        <v>118</v>
      </c>
      <c r="E14" s="103" t="str">
        <f>'mk1 cutter 46'' mast'!D14</f>
        <v xml:space="preserve">397.1 sq ft </v>
      </c>
      <c r="F14" s="103" t="str">
        <f>'mk1 cutter 46'' mast'!E14</f>
        <v xml:space="preserve">36.9 m2 </v>
      </c>
      <c r="I14" s="103" t="str">
        <f>'mk1 cutter 51'' mast'!D14</f>
        <v xml:space="preserve">438.9 sq ft </v>
      </c>
      <c r="J14" s="103" t="str">
        <f>'mk1 cutter 51'' mast'!E14</f>
        <v xml:space="preserve">40.8 m2 </v>
      </c>
      <c r="M14" s="103" t="str">
        <f>'mk1 ketch 46'' mast'!D14</f>
        <v xml:space="preserve">332.5 sq ft </v>
      </c>
      <c r="N14" s="103" t="str">
        <f>'mk1 ketch 46'' mast'!E14</f>
        <v xml:space="preserve">30.9 m2 </v>
      </c>
    </row>
    <row r="15" spans="2:23" x14ac:dyDescent="0.35">
      <c r="B15" s="78" t="s">
        <v>119</v>
      </c>
      <c r="E15" s="103" t="str">
        <f>'mk1 cutter 46'' mast'!D18</f>
        <v xml:space="preserve">325.2 sq ft </v>
      </c>
      <c r="F15" s="103" t="str">
        <f>'mk1 cutter 46'' mast'!E18</f>
        <v xml:space="preserve">30.2 m2 </v>
      </c>
      <c r="I15" s="103" t="str">
        <f>'mk1 cutter 51'' mast'!D18</f>
        <v xml:space="preserve">309.3 sq ft </v>
      </c>
      <c r="J15" s="103" t="str">
        <f>'mk1 cutter 51'' mast'!E18</f>
        <v xml:space="preserve">28.7 m2 </v>
      </c>
      <c r="M15" s="103" t="str">
        <f>'mk1 ketch 46'' mast'!D18</f>
        <v xml:space="preserve">288.5 sq ft </v>
      </c>
      <c r="N15" s="103" t="str">
        <f>'mk1 ketch 46'' mast'!E18</f>
        <v xml:space="preserve">26.8 m2 </v>
      </c>
    </row>
    <row r="16" spans="2:23" x14ac:dyDescent="0.35">
      <c r="B16" s="78" t="s">
        <v>120</v>
      </c>
      <c r="E16" s="103" t="str">
        <f>'mk1 cutter 46'' mast'!D22</f>
        <v xml:space="preserve">174.5 sq ft </v>
      </c>
      <c r="F16" s="103" t="str">
        <f>'mk1 cutter 46'' mast'!E22</f>
        <v xml:space="preserve">16.2 m2 </v>
      </c>
      <c r="I16" s="103" t="str">
        <f>'mk1 cutter 51'' mast'!D22</f>
        <v xml:space="preserve">183.5 sq ft </v>
      </c>
      <c r="J16" s="103" t="str">
        <f>'mk1 cutter 51'' mast'!E22</f>
        <v xml:space="preserve">17 m2 </v>
      </c>
      <c r="M16" s="103" t="str">
        <f>'mk1 ketch 46'' mast'!D22</f>
        <v xml:space="preserve">132.2 sq ft </v>
      </c>
      <c r="N16" s="103" t="str">
        <f>'mk1 ketch 46'' mast'!E22</f>
        <v xml:space="preserve">12.3 m2 </v>
      </c>
    </row>
    <row r="17" spans="2:23" x14ac:dyDescent="0.35">
      <c r="B17" s="78" t="s">
        <v>121</v>
      </c>
      <c r="E17" s="103" t="str">
        <f>'mk1 cutter 46'' mast'!D26</f>
        <v xml:space="preserve">0 sq ft </v>
      </c>
      <c r="F17" s="103" t="str">
        <f>'mk1 cutter 46'' mast'!E26</f>
        <v xml:space="preserve">0 m2 </v>
      </c>
      <c r="I17" s="103" t="str">
        <f>'mk1 cutter 51'' mast'!D26</f>
        <v xml:space="preserve">0 sq ft </v>
      </c>
      <c r="J17" s="103" t="str">
        <f>'mk1 cutter 51'' mast'!E26</f>
        <v xml:space="preserve">0 m2 </v>
      </c>
      <c r="M17" s="103" t="str">
        <f>'mk1 ketch 46'' mast'!D26</f>
        <v xml:space="preserve">117.2 sq ft </v>
      </c>
      <c r="N17" s="103" t="str">
        <f>'mk1 ketch 46'' mast'!E26</f>
        <v xml:space="preserve">10.9 m2 </v>
      </c>
    </row>
    <row r="18" spans="2:23" x14ac:dyDescent="0.35">
      <c r="B18" s="107" t="s">
        <v>122</v>
      </c>
      <c r="C18" s="108"/>
      <c r="D18" s="108"/>
      <c r="E18" s="109" t="str">
        <f>'mk1 cutter 46'' mast'!D28</f>
        <v xml:space="preserve">896.8 sq ft </v>
      </c>
      <c r="F18" s="109" t="str">
        <f>'mk1 cutter 46'' mast'!E28</f>
        <v xml:space="preserve">83.3 m2 </v>
      </c>
      <c r="H18" s="108"/>
      <c r="I18" s="109" t="str">
        <f>'mk1 cutter 51'' mast'!D28</f>
        <v xml:space="preserve">931.7 sq ft </v>
      </c>
      <c r="J18" s="109" t="str">
        <f>'mk1 cutter 51'' mast'!E28</f>
        <v xml:space="preserve">86.6 m2 </v>
      </c>
      <c r="L18" s="108"/>
      <c r="M18" s="109" t="str">
        <f>'mk1 ketch 46'' mast'!D28</f>
        <v xml:space="preserve">753.2 sq ft </v>
      </c>
      <c r="N18" s="109" t="str">
        <f>'mk1 ketch 46'' mast'!E28</f>
        <v xml:space="preserve">70 m2 </v>
      </c>
    </row>
    <row r="19" spans="2:23" x14ac:dyDescent="0.35">
      <c r="L19" s="117">
        <f>L4-H4</f>
        <v>32</v>
      </c>
      <c r="M19" s="1" t="s">
        <v>135</v>
      </c>
    </row>
    <row r="20" spans="2:23" ht="72.5" customHeight="1" x14ac:dyDescent="0.35">
      <c r="E20" s="106" t="s">
        <v>141</v>
      </c>
      <c r="I20" s="106" t="s">
        <v>142</v>
      </c>
      <c r="K20" s="73"/>
      <c r="M20" s="106" t="s">
        <v>131</v>
      </c>
      <c r="N20" s="73"/>
      <c r="O20" s="73"/>
      <c r="P20" s="73"/>
      <c r="Q20" s="73"/>
      <c r="R20" s="73"/>
      <c r="S20" s="73"/>
      <c r="T20" s="73"/>
      <c r="U20" s="73"/>
      <c r="V20" s="73"/>
      <c r="W20" s="73"/>
    </row>
    <row r="21" spans="2:23" x14ac:dyDescent="0.35">
      <c r="D21" s="105" t="s">
        <v>75</v>
      </c>
      <c r="E21" s="85" t="s">
        <v>76</v>
      </c>
      <c r="F21" s="85" t="s">
        <v>60</v>
      </c>
      <c r="H21" s="105" t="s">
        <v>75</v>
      </c>
      <c r="I21" s="85" t="s">
        <v>76</v>
      </c>
      <c r="J21" s="85" t="s">
        <v>60</v>
      </c>
      <c r="L21" s="105" t="s">
        <v>75</v>
      </c>
      <c r="M21" s="85" t="s">
        <v>76</v>
      </c>
      <c r="N21" s="85" t="s">
        <v>60</v>
      </c>
    </row>
    <row r="22" spans="2:23" x14ac:dyDescent="0.35">
      <c r="B22" s="2" t="s">
        <v>132</v>
      </c>
      <c r="L22" s="117"/>
    </row>
    <row r="23" spans="2:23" x14ac:dyDescent="0.35">
      <c r="B23" s="78" t="s">
        <v>108</v>
      </c>
      <c r="D23" s="110">
        <f>D4</f>
        <v>252.2</v>
      </c>
      <c r="E23" s="103" t="str">
        <f t="shared" ref="E23:F23" si="2">E4</f>
        <v>21 ft. 0.2 in.</v>
      </c>
      <c r="F23" s="81">
        <f t="shared" si="2"/>
        <v>6405.8799999999992</v>
      </c>
      <c r="H23" s="110">
        <f>H4</f>
        <v>252.2</v>
      </c>
      <c r="I23" s="103" t="str">
        <f t="shared" ref="I23:J23" si="3">I4</f>
        <v>21 ft. 0.2 in.</v>
      </c>
      <c r="J23" s="81">
        <f t="shared" si="3"/>
        <v>6405.8799999999992</v>
      </c>
      <c r="L23" s="118"/>
      <c r="M23" s="119"/>
      <c r="N23" s="119"/>
    </row>
    <row r="24" spans="2:23" x14ac:dyDescent="0.35">
      <c r="B24" s="78" t="s">
        <v>115</v>
      </c>
      <c r="D24" s="110">
        <f>D5</f>
        <v>463.5</v>
      </c>
      <c r="E24" s="103" t="str">
        <f t="shared" ref="E24:F24" si="4">E5</f>
        <v>38 ft. 7.5 in.</v>
      </c>
      <c r="F24" s="81">
        <f t="shared" si="4"/>
        <v>11772.9</v>
      </c>
      <c r="H24" s="110">
        <f>H5</f>
        <v>463.5</v>
      </c>
      <c r="I24" s="103" t="str">
        <f t="shared" ref="I24:J24" si="5">I5</f>
        <v>38 ft. 7.5 in.</v>
      </c>
      <c r="J24" s="81">
        <f t="shared" si="5"/>
        <v>11772.9</v>
      </c>
      <c r="L24" s="118"/>
      <c r="M24" s="120" t="s">
        <v>131</v>
      </c>
      <c r="N24" s="119"/>
    </row>
    <row r="25" spans="2:23" x14ac:dyDescent="0.35">
      <c r="B25" s="78" t="s">
        <v>116</v>
      </c>
      <c r="D25" s="110">
        <f>H44</f>
        <v>499.5</v>
      </c>
      <c r="E25" s="110" t="str">
        <f t="shared" ref="E25:F25" si="6">I44</f>
        <v>41 ft. 7.5 in.</v>
      </c>
      <c r="F25" s="110">
        <f t="shared" si="6"/>
        <v>12687.3</v>
      </c>
      <c r="H25" s="110">
        <f>H44</f>
        <v>499.5</v>
      </c>
      <c r="I25" s="110" t="str">
        <f t="shared" ref="I25:J25" si="7">I44</f>
        <v>41 ft. 7.5 in.</v>
      </c>
      <c r="J25" s="110">
        <f t="shared" si="7"/>
        <v>12687.3</v>
      </c>
      <c r="L25" s="118"/>
      <c r="M25" s="120" t="s">
        <v>139</v>
      </c>
      <c r="N25" s="119"/>
    </row>
    <row r="26" spans="2:23" x14ac:dyDescent="0.35">
      <c r="B26" s="78" t="s">
        <v>109</v>
      </c>
      <c r="D26" s="110">
        <f>D7</f>
        <v>54</v>
      </c>
      <c r="E26" s="110" t="str">
        <f t="shared" ref="E26:F26" si="8">E7</f>
        <v>4 ft. 6 in.</v>
      </c>
      <c r="F26" s="110">
        <f t="shared" si="8"/>
        <v>1371.6</v>
      </c>
      <c r="H26" s="110">
        <f>H7</f>
        <v>54</v>
      </c>
      <c r="I26" s="110" t="str">
        <f t="shared" ref="I26:J26" si="9">I7</f>
        <v>4 ft. 6 in.</v>
      </c>
      <c r="J26" s="110">
        <f t="shared" si="9"/>
        <v>1371.6</v>
      </c>
      <c r="L26" s="118"/>
      <c r="M26" s="119"/>
      <c r="N26" s="119"/>
    </row>
    <row r="27" spans="2:23" x14ac:dyDescent="0.35">
      <c r="B27" s="78" t="s">
        <v>110</v>
      </c>
      <c r="D27" s="110">
        <f>D8</f>
        <v>62</v>
      </c>
      <c r="E27" s="110" t="str">
        <f t="shared" ref="E27:F27" si="10">E8</f>
        <v>5 ft. 2 in.</v>
      </c>
      <c r="F27" s="110">
        <f t="shared" si="10"/>
        <v>1574.8</v>
      </c>
      <c r="H27" s="110">
        <f>H8</f>
        <v>62</v>
      </c>
      <c r="I27" s="110" t="str">
        <f t="shared" ref="I27:J27" si="11">I8</f>
        <v>5 ft. 2 in.</v>
      </c>
      <c r="J27" s="110">
        <f t="shared" si="11"/>
        <v>1574.8</v>
      </c>
      <c r="L27" s="118"/>
      <c r="M27" s="119"/>
      <c r="N27" s="119"/>
    </row>
    <row r="28" spans="2:23" x14ac:dyDescent="0.35">
      <c r="B28" s="78" t="s">
        <v>113</v>
      </c>
      <c r="D28" s="110">
        <f t="shared" ref="D28:F31" si="12">D9</f>
        <v>115.19999999999999</v>
      </c>
      <c r="E28" s="110" t="str">
        <f t="shared" si="12"/>
        <v>9 ft. 7.2 in.</v>
      </c>
      <c r="F28" s="110">
        <f t="shared" si="12"/>
        <v>2926.0799999999995</v>
      </c>
      <c r="H28" s="110">
        <f t="shared" ref="H28:J28" si="13">H9</f>
        <v>115.19999999999999</v>
      </c>
      <c r="I28" s="110" t="str">
        <f t="shared" si="13"/>
        <v>9 ft. 7.2 in.</v>
      </c>
      <c r="J28" s="110">
        <f t="shared" si="13"/>
        <v>2926.0799999999995</v>
      </c>
      <c r="L28" s="118"/>
      <c r="M28" s="119"/>
      <c r="N28" s="119"/>
    </row>
    <row r="29" spans="2:23" x14ac:dyDescent="0.35">
      <c r="B29" s="78" t="s">
        <v>123</v>
      </c>
      <c r="D29" s="110">
        <f t="shared" si="12"/>
        <v>212.7</v>
      </c>
      <c r="E29" s="110" t="str">
        <f t="shared" si="12"/>
        <v>17 ft. 8.7 in.</v>
      </c>
      <c r="F29" s="110">
        <f t="shared" si="12"/>
        <v>5402.579999999999</v>
      </c>
      <c r="H29" s="110">
        <f t="shared" ref="H29:J29" si="14">H10</f>
        <v>0</v>
      </c>
      <c r="I29" s="110">
        <f t="shared" si="14"/>
        <v>0</v>
      </c>
      <c r="J29" s="110">
        <f t="shared" si="14"/>
        <v>0</v>
      </c>
      <c r="L29" s="118"/>
      <c r="M29" s="119"/>
      <c r="N29" s="119"/>
    </row>
    <row r="30" spans="2:23" x14ac:dyDescent="0.35">
      <c r="B30" s="78" t="s">
        <v>111</v>
      </c>
      <c r="D30" s="110">
        <f t="shared" si="12"/>
        <v>552</v>
      </c>
      <c r="E30" s="110" t="str">
        <f t="shared" si="12"/>
        <v>46 ft. 0 in.</v>
      </c>
      <c r="F30" s="110">
        <f t="shared" si="12"/>
        <v>14020.8</v>
      </c>
      <c r="H30" s="110">
        <f t="shared" ref="H30:J30" si="15">H11</f>
        <v>612</v>
      </c>
      <c r="I30" s="110" t="str">
        <f t="shared" si="15"/>
        <v>51 ft. 0 in.</v>
      </c>
      <c r="J30" s="110">
        <f t="shared" si="15"/>
        <v>15544.8</v>
      </c>
      <c r="L30" s="118"/>
      <c r="M30" s="119"/>
      <c r="N30" s="119"/>
    </row>
    <row r="31" spans="2:23" x14ac:dyDescent="0.35">
      <c r="B31" s="78" t="s">
        <v>112</v>
      </c>
      <c r="D31" s="110">
        <f t="shared" si="12"/>
        <v>606</v>
      </c>
      <c r="E31" s="110" t="str">
        <f t="shared" si="12"/>
        <v>50 ft. 6 in.</v>
      </c>
      <c r="F31" s="110">
        <f t="shared" si="12"/>
        <v>15392.4</v>
      </c>
      <c r="H31" s="110">
        <f t="shared" ref="H31:J31" si="16">H12</f>
        <v>606</v>
      </c>
      <c r="I31" s="110" t="str">
        <f t="shared" si="16"/>
        <v>50 ft. 6 in.</v>
      </c>
      <c r="J31" s="110">
        <f t="shared" si="16"/>
        <v>15392.4</v>
      </c>
      <c r="L31" s="118"/>
      <c r="M31" s="119"/>
      <c r="N31" s="119"/>
    </row>
    <row r="32" spans="2:23" x14ac:dyDescent="0.35">
      <c r="L32" s="118"/>
      <c r="M32" s="119"/>
      <c r="N32" s="119"/>
    </row>
    <row r="33" spans="2:14" x14ac:dyDescent="0.35">
      <c r="B33" s="78" t="s">
        <v>118</v>
      </c>
      <c r="D33" t="s">
        <v>137</v>
      </c>
      <c r="H33" t="s">
        <v>137</v>
      </c>
      <c r="L33" s="118"/>
      <c r="M33" s="119"/>
      <c r="N33" s="119"/>
    </row>
    <row r="34" spans="2:14" x14ac:dyDescent="0.35">
      <c r="B34" s="78" t="s">
        <v>119</v>
      </c>
      <c r="D34" t="s">
        <v>138</v>
      </c>
      <c r="H34" t="s">
        <v>138</v>
      </c>
      <c r="L34" s="118"/>
      <c r="M34" s="119"/>
      <c r="N34" s="119"/>
    </row>
    <row r="35" spans="2:14" x14ac:dyDescent="0.35">
      <c r="B35" s="78" t="s">
        <v>120</v>
      </c>
      <c r="D35" t="s">
        <v>138</v>
      </c>
      <c r="H35" t="s">
        <v>138</v>
      </c>
      <c r="L35" s="118"/>
      <c r="M35" s="119"/>
      <c r="N35" s="119"/>
    </row>
    <row r="36" spans="2:14" x14ac:dyDescent="0.35">
      <c r="B36" s="78" t="s">
        <v>121</v>
      </c>
      <c r="L36" s="119"/>
      <c r="M36" s="119"/>
      <c r="N36" s="119"/>
    </row>
    <row r="37" spans="2:14" x14ac:dyDescent="0.35">
      <c r="B37" s="107" t="s">
        <v>122</v>
      </c>
      <c r="C37" s="108"/>
      <c r="D37" s="108"/>
      <c r="E37" s="108"/>
      <c r="F37" s="108"/>
      <c r="G37" s="108"/>
      <c r="H37" s="108"/>
      <c r="I37" s="108"/>
      <c r="J37" s="108"/>
      <c r="K37" s="108"/>
      <c r="L37" s="108"/>
      <c r="M37" s="108"/>
      <c r="N37" s="108"/>
    </row>
    <row r="38" spans="2:14" x14ac:dyDescent="0.35">
      <c r="B38" s="78"/>
    </row>
    <row r="39" spans="2:14" ht="29" x14ac:dyDescent="0.35">
      <c r="B39" s="78"/>
      <c r="I39" s="106" t="s">
        <v>129</v>
      </c>
      <c r="M39" s="106" t="s">
        <v>114</v>
      </c>
    </row>
    <row r="40" spans="2:14" x14ac:dyDescent="0.35">
      <c r="H40" s="105" t="s">
        <v>75</v>
      </c>
      <c r="I40" s="85" t="s">
        <v>76</v>
      </c>
      <c r="J40" s="85" t="s">
        <v>60</v>
      </c>
      <c r="L40" s="105" t="s">
        <v>75</v>
      </c>
      <c r="M40" s="85" t="s">
        <v>76</v>
      </c>
      <c r="N40" s="85" t="s">
        <v>60</v>
      </c>
    </row>
    <row r="41" spans="2:14" x14ac:dyDescent="0.35">
      <c r="B41" s="2" t="s">
        <v>134</v>
      </c>
    </row>
    <row r="42" spans="2:14" x14ac:dyDescent="0.35">
      <c r="B42" s="78" t="s">
        <v>108</v>
      </c>
      <c r="D42" s="118"/>
      <c r="E42" s="119"/>
      <c r="F42" s="119"/>
      <c r="H42" s="110">
        <f>'mk2 cutter 49'' mast'!C2</f>
        <v>284.2</v>
      </c>
      <c r="I42" s="110" t="str">
        <f>'mk2 cutter 49'' mast'!D2</f>
        <v>23 ft. 8.2 in.</v>
      </c>
      <c r="J42" s="81">
        <f>'mk2 cutter 49'' mast'!E2</f>
        <v>7218.6799999999994</v>
      </c>
      <c r="L42" s="67"/>
      <c r="M42" s="67"/>
      <c r="N42" s="67"/>
    </row>
    <row r="43" spans="2:14" x14ac:dyDescent="0.35">
      <c r="B43" s="78" t="s">
        <v>115</v>
      </c>
      <c r="D43" s="118"/>
      <c r="E43" s="120" t="s">
        <v>131</v>
      </c>
      <c r="F43" s="119"/>
      <c r="H43" s="110">
        <f>'mk2 cutter 49'' mast'!C3</f>
        <v>463.5</v>
      </c>
      <c r="I43" s="110" t="str">
        <f>'mk2 cutter 49'' mast'!D3</f>
        <v>38 ft. 7.5 in.</v>
      </c>
      <c r="J43" s="81">
        <f>'mk2 cutter 49'' mast'!E3</f>
        <v>11772.9</v>
      </c>
      <c r="L43" s="67"/>
      <c r="M43" s="67" t="s">
        <v>130</v>
      </c>
      <c r="N43" s="67"/>
    </row>
    <row r="44" spans="2:14" x14ac:dyDescent="0.35">
      <c r="B44" s="78" t="s">
        <v>116</v>
      </c>
      <c r="D44" s="118"/>
      <c r="E44" s="120" t="s">
        <v>140</v>
      </c>
      <c r="F44" s="119"/>
      <c r="H44" s="110">
        <f>'mk2 cutter 49'' mast'!C4</f>
        <v>499.5</v>
      </c>
      <c r="I44" s="110" t="str">
        <f>'mk2 cutter 49'' mast'!D4</f>
        <v>41 ft. 7.5 in.</v>
      </c>
      <c r="J44" s="81">
        <f>'mk2 cutter 49'' mast'!E4</f>
        <v>12687.3</v>
      </c>
      <c r="L44" s="67"/>
      <c r="M44" s="67"/>
      <c r="N44" s="67"/>
    </row>
    <row r="45" spans="2:14" x14ac:dyDescent="0.35">
      <c r="B45" s="78" t="s">
        <v>109</v>
      </c>
      <c r="D45" s="118"/>
      <c r="E45" s="119"/>
      <c r="F45" s="119"/>
      <c r="H45" s="110">
        <f>'mk2 cutter 49'' mast'!C5</f>
        <v>54</v>
      </c>
      <c r="I45" s="110" t="str">
        <f>'mk2 cutter 49'' mast'!D5</f>
        <v>4 ft. 6 in.</v>
      </c>
      <c r="J45" s="81">
        <f>'mk2 cutter 49'' mast'!E5</f>
        <v>1371.6</v>
      </c>
      <c r="L45" s="67"/>
      <c r="M45" s="67"/>
      <c r="N45" s="67"/>
    </row>
    <row r="46" spans="2:14" x14ac:dyDescent="0.35">
      <c r="B46" s="78" t="s">
        <v>110</v>
      </c>
      <c r="D46" s="118"/>
      <c r="E46" s="119"/>
      <c r="F46" s="119"/>
      <c r="H46" s="110">
        <f>'mk2 cutter 49'' mast'!C6</f>
        <v>62</v>
      </c>
      <c r="I46" s="110" t="str">
        <f>'mk2 cutter 49'' mast'!D6</f>
        <v>5 ft. 2 in.</v>
      </c>
      <c r="J46" s="81">
        <f>'mk2 cutter 49'' mast'!E6</f>
        <v>1574.8</v>
      </c>
      <c r="L46" s="67"/>
      <c r="M46" s="67"/>
      <c r="N46" s="67"/>
    </row>
    <row r="47" spans="2:14" x14ac:dyDescent="0.35">
      <c r="B47" s="78" t="s">
        <v>113</v>
      </c>
      <c r="D47" s="118"/>
      <c r="E47" s="119"/>
      <c r="F47" s="119"/>
      <c r="H47" s="110">
        <f>'mk2 cutter 49'' mast'!C7</f>
        <v>118</v>
      </c>
      <c r="I47" s="110" t="str">
        <f>'mk2 cutter 49'' mast'!D7</f>
        <v>9 ft. 10 in.</v>
      </c>
      <c r="J47" s="81">
        <f>'mk2 cutter 49'' mast'!E7</f>
        <v>2997.2</v>
      </c>
      <c r="L47" s="67"/>
      <c r="M47" s="67"/>
      <c r="N47" s="67"/>
    </row>
    <row r="48" spans="2:14" x14ac:dyDescent="0.35">
      <c r="B48" s="78" t="s">
        <v>123</v>
      </c>
      <c r="D48" s="118"/>
      <c r="E48" s="119"/>
      <c r="F48" s="119"/>
      <c r="H48" s="110">
        <f>'mk2 cutter 49'' mast'!C8</f>
        <v>212</v>
      </c>
      <c r="I48" s="110" t="str">
        <f>'mk2 cutter 49'' mast'!D8</f>
        <v>17 ft. 8 in.</v>
      </c>
      <c r="J48" s="81">
        <f>'mk2 cutter 49'' mast'!E8</f>
        <v>5384.7999999999993</v>
      </c>
      <c r="L48" s="67"/>
      <c r="M48" s="67"/>
      <c r="N48" s="67"/>
    </row>
    <row r="49" spans="2:14" x14ac:dyDescent="0.35">
      <c r="B49" s="78" t="s">
        <v>111</v>
      </c>
      <c r="D49" s="118"/>
      <c r="E49" s="119"/>
      <c r="F49" s="119"/>
      <c r="H49" s="110">
        <f>'mk2 cutter 49'' mast'!C9</f>
        <v>594</v>
      </c>
      <c r="I49" s="110" t="str">
        <f>'mk2 cutter 49'' mast'!D9</f>
        <v>49 ft. 6 in.</v>
      </c>
      <c r="J49" s="81">
        <f>'mk2 cutter 49'' mast'!E9</f>
        <v>15087.599999999999</v>
      </c>
      <c r="L49" s="67"/>
      <c r="M49" s="67"/>
      <c r="N49" s="67"/>
    </row>
    <row r="50" spans="2:14" x14ac:dyDescent="0.35">
      <c r="B50" s="78" t="s">
        <v>112</v>
      </c>
      <c r="D50" s="118"/>
      <c r="E50" s="119"/>
      <c r="F50" s="119"/>
      <c r="H50" s="110">
        <f>'mk2 cutter 49'' mast'!C10</f>
        <v>606</v>
      </c>
      <c r="I50" s="110" t="str">
        <f>'mk2 cutter 49'' mast'!D10</f>
        <v>50 ft. 6 in.</v>
      </c>
      <c r="J50" s="81">
        <f>'mk2 cutter 49'' mast'!E10</f>
        <v>15392.4</v>
      </c>
      <c r="L50" s="67"/>
      <c r="M50" s="67"/>
      <c r="N50" s="67"/>
    </row>
    <row r="51" spans="2:14" x14ac:dyDescent="0.35">
      <c r="D51" s="118"/>
      <c r="E51" s="119"/>
      <c r="F51" s="119"/>
      <c r="L51" s="67"/>
      <c r="M51" s="67"/>
      <c r="N51" s="67"/>
    </row>
    <row r="52" spans="2:14" x14ac:dyDescent="0.35">
      <c r="B52" s="78" t="s">
        <v>118</v>
      </c>
      <c r="D52" s="118"/>
      <c r="E52" s="119"/>
      <c r="F52" s="119"/>
      <c r="I52" s="103" t="str">
        <f>'mk2 cutter 49'' mast'!D14</f>
        <v xml:space="preserve">484.9 sq ft </v>
      </c>
      <c r="J52" s="103" t="str">
        <f>'mk2 cutter 49'' mast'!E14</f>
        <v xml:space="preserve">45 m2 </v>
      </c>
      <c r="L52" s="67"/>
      <c r="M52" s="67"/>
      <c r="N52" s="67"/>
    </row>
    <row r="53" spans="2:14" x14ac:dyDescent="0.35">
      <c r="B53" s="78" t="s">
        <v>119</v>
      </c>
      <c r="D53" s="118"/>
      <c r="E53" s="119"/>
      <c r="F53" s="119"/>
      <c r="I53" s="103" t="str">
        <f>'mk2 cutter 49'' mast'!D18</f>
        <v xml:space="preserve">367.5 sq ft </v>
      </c>
      <c r="J53" s="103" t="str">
        <f>'mk2 cutter 49'' mast'!E18</f>
        <v xml:space="preserve">34.1 m2 </v>
      </c>
      <c r="L53" s="67"/>
      <c r="M53" s="67"/>
      <c r="N53" s="67"/>
    </row>
    <row r="54" spans="2:14" x14ac:dyDescent="0.35">
      <c r="B54" s="78" t="s">
        <v>120</v>
      </c>
      <c r="D54" s="118"/>
      <c r="E54" s="119"/>
      <c r="F54" s="119"/>
      <c r="I54" s="103" t="str">
        <f>'mk2 cutter 49'' mast'!D22</f>
        <v xml:space="preserve">237.2 sq ft </v>
      </c>
      <c r="J54" s="103" t="str">
        <f>'mk2 cutter 49'' mast'!E22</f>
        <v xml:space="preserve">22 m2 </v>
      </c>
      <c r="L54" s="67"/>
      <c r="M54" s="67"/>
      <c r="N54" s="67"/>
    </row>
    <row r="55" spans="2:14" x14ac:dyDescent="0.35">
      <c r="B55" s="78" t="s">
        <v>121</v>
      </c>
      <c r="D55" s="119"/>
      <c r="E55" s="119"/>
      <c r="F55" s="119"/>
      <c r="I55" s="103" t="str">
        <f>'mk2 cutter 49'' mast'!D26</f>
        <v xml:space="preserve">0 sq ft </v>
      </c>
      <c r="J55" s="103" t="str">
        <f>'mk2 cutter 49'' mast'!E26</f>
        <v xml:space="preserve">0 m2 </v>
      </c>
      <c r="L55" s="67"/>
      <c r="M55" s="67"/>
      <c r="N55" s="67"/>
    </row>
    <row r="56" spans="2:14" x14ac:dyDescent="0.35">
      <c r="B56" s="107" t="s">
        <v>122</v>
      </c>
      <c r="H56" s="108"/>
      <c r="I56" s="109" t="str">
        <f>'mk2 cutter 49'' mast'!D28</f>
        <v xml:space="preserve">1089.6 sq ft </v>
      </c>
      <c r="J56" s="109" t="str">
        <f>'mk2 cutter 49'' mast'!E28</f>
        <v xml:space="preserve">101.2 m2 </v>
      </c>
      <c r="L56" s="67"/>
      <c r="M56" s="67"/>
      <c r="N56" s="67"/>
    </row>
    <row r="57" spans="2:14" x14ac:dyDescent="0.35">
      <c r="H57" s="117">
        <f>H44-H43</f>
        <v>36</v>
      </c>
      <c r="I57" s="1" t="s">
        <v>136</v>
      </c>
    </row>
  </sheetData>
  <printOptions horizontalCentered="1" verticalCentered="1"/>
  <pageMargins left="0.23622047244094491" right="0.23622047244094491"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74642-285B-4D81-A106-43F16276A842}">
  <dimension ref="A1:H32"/>
  <sheetViews>
    <sheetView zoomScaleNormal="100" workbookViewId="0">
      <selection activeCell="F38" sqref="F38"/>
    </sheetView>
  </sheetViews>
  <sheetFormatPr defaultRowHeight="14.5" x14ac:dyDescent="0.35"/>
  <cols>
    <col min="1" max="1" width="9.81640625" customWidth="1"/>
    <col min="2" max="2" width="32.81640625" customWidth="1"/>
    <col min="3" max="3" width="11.453125" style="77" bestFit="1" customWidth="1"/>
    <col min="4" max="4" width="15.6328125" style="78" customWidth="1"/>
    <col min="5" max="5" width="14" bestFit="1" customWidth="1"/>
    <col min="7" max="7" width="11.81640625" bestFit="1" customWidth="1"/>
  </cols>
  <sheetData>
    <row r="1" spans="1:8" x14ac:dyDescent="0.35">
      <c r="A1" s="76"/>
      <c r="B1" s="76"/>
      <c r="C1" s="105" t="s">
        <v>75</v>
      </c>
      <c r="D1" s="85" t="s">
        <v>76</v>
      </c>
      <c r="E1" s="85" t="s">
        <v>60</v>
      </c>
      <c r="G1" s="75">
        <v>25.4</v>
      </c>
    </row>
    <row r="2" spans="1:8" x14ac:dyDescent="0.35">
      <c r="B2" t="s">
        <v>108</v>
      </c>
      <c r="C2" s="79">
        <v>252.2</v>
      </c>
      <c r="D2" s="83" t="str">
        <f t="shared" ref="D2:D5" si="0">INT(C2/12) &amp; " ft. " &amp; ROUND(MOD(C2,12),2) &amp; " in."</f>
        <v>21 ft. 0.2 in.</v>
      </c>
      <c r="E2" s="81">
        <f>C2*$G$1</f>
        <v>6405.8799999999992</v>
      </c>
    </row>
    <row r="3" spans="1:8" x14ac:dyDescent="0.35">
      <c r="B3" t="s">
        <v>115</v>
      </c>
      <c r="C3" s="79">
        <v>463.5</v>
      </c>
      <c r="D3" s="83" t="str">
        <f t="shared" si="0"/>
        <v>38 ft. 7.5 in.</v>
      </c>
      <c r="E3" s="81">
        <f>C3*$G$1</f>
        <v>11772.9</v>
      </c>
    </row>
    <row r="4" spans="1:8" x14ac:dyDescent="0.35">
      <c r="B4" t="s">
        <v>116</v>
      </c>
      <c r="C4" s="102" t="s">
        <v>117</v>
      </c>
      <c r="D4" s="83" t="s">
        <v>117</v>
      </c>
      <c r="E4" s="104" t="s">
        <v>117</v>
      </c>
    </row>
    <row r="5" spans="1:8" x14ac:dyDescent="0.35">
      <c r="B5" t="s">
        <v>109</v>
      </c>
      <c r="C5" s="79">
        <v>54</v>
      </c>
      <c r="D5" s="83" t="str">
        <f t="shared" si="0"/>
        <v>4 ft. 6 in.</v>
      </c>
      <c r="E5" s="81">
        <f t="shared" ref="E5:E10" si="1">C5*$G$1</f>
        <v>1371.6</v>
      </c>
    </row>
    <row r="6" spans="1:8" x14ac:dyDescent="0.35">
      <c r="B6" t="s">
        <v>110</v>
      </c>
      <c r="C6" s="79">
        <v>62</v>
      </c>
      <c r="D6" s="83" t="str">
        <f>INT(C6/12) &amp; " ft. " &amp; ROUND(MOD(C6,12),2) &amp; " in."</f>
        <v>5 ft. 2 in.</v>
      </c>
      <c r="E6" s="81">
        <f t="shared" si="1"/>
        <v>1574.8</v>
      </c>
    </row>
    <row r="7" spans="1:8" x14ac:dyDescent="0.35">
      <c r="B7" t="s">
        <v>113</v>
      </c>
      <c r="C7" s="79">
        <f>C10-C16</f>
        <v>115.19999999999999</v>
      </c>
      <c r="D7" s="83" t="str">
        <f t="shared" ref="D7:D10" si="2">INT(C7/12) &amp; " ft. " &amp; ROUND(MOD(C7,12),2) &amp; " in."</f>
        <v>9 ft. 7.2 in.</v>
      </c>
      <c r="E7" s="81">
        <f t="shared" si="1"/>
        <v>2926.0799999999995</v>
      </c>
    </row>
    <row r="8" spans="1:8" x14ac:dyDescent="0.35">
      <c r="B8" t="s">
        <v>123</v>
      </c>
      <c r="C8" s="79">
        <v>212.7</v>
      </c>
      <c r="D8" s="83" t="str">
        <f t="shared" si="2"/>
        <v>17 ft. 8.7 in.</v>
      </c>
      <c r="E8" s="81">
        <f t="shared" si="1"/>
        <v>5402.579999999999</v>
      </c>
    </row>
    <row r="9" spans="1:8" x14ac:dyDescent="0.35">
      <c r="B9" t="s">
        <v>111</v>
      </c>
      <c r="C9" s="79">
        <v>552</v>
      </c>
      <c r="D9" s="83" t="str">
        <f t="shared" si="2"/>
        <v>46 ft. 0 in.</v>
      </c>
      <c r="E9" s="81">
        <f t="shared" si="1"/>
        <v>14020.8</v>
      </c>
    </row>
    <row r="10" spans="1:8" x14ac:dyDescent="0.35">
      <c r="B10" t="s">
        <v>112</v>
      </c>
      <c r="C10" s="79">
        <f>552+54</f>
        <v>606</v>
      </c>
      <c r="D10" s="83" t="str">
        <f t="shared" si="2"/>
        <v>50 ft. 6 in.</v>
      </c>
      <c r="E10" s="81">
        <f t="shared" si="1"/>
        <v>15392.4</v>
      </c>
    </row>
    <row r="11" spans="1:8" x14ac:dyDescent="0.35">
      <c r="C11"/>
      <c r="D11" s="3"/>
    </row>
    <row r="12" spans="1:8" x14ac:dyDescent="0.35">
      <c r="A12" s="78" t="s">
        <v>77</v>
      </c>
      <c r="B12" t="s">
        <v>78</v>
      </c>
      <c r="C12" s="79">
        <v>552</v>
      </c>
      <c r="D12" s="83" t="str">
        <f t="shared" ref="D12:D13" si="3">INT(C12/12) &amp; " ft. " &amp; ROUND(MOD(C12,12),2) &amp; " in."</f>
        <v>46 ft. 0 in.</v>
      </c>
      <c r="E12" s="81">
        <f>C12*$G$1</f>
        <v>14020.8</v>
      </c>
    </row>
    <row r="13" spans="1:8" x14ac:dyDescent="0.35">
      <c r="A13" s="78" t="s">
        <v>79</v>
      </c>
      <c r="B13" t="s">
        <v>80</v>
      </c>
      <c r="C13" s="79">
        <v>207.2</v>
      </c>
      <c r="D13" s="83" t="str">
        <f t="shared" si="3"/>
        <v>17 ft. 3.2 in.</v>
      </c>
      <c r="E13" s="81">
        <f>C13*$G$1</f>
        <v>5262.8799999999992</v>
      </c>
    </row>
    <row r="14" spans="1:8" x14ac:dyDescent="0.35">
      <c r="A14" s="78"/>
      <c r="B14" s="89" t="s">
        <v>98</v>
      </c>
      <c r="C14" s="86"/>
      <c r="D14" s="87" t="str">
        <f>ROUND(((C12/2)*C13)/144, 1) &amp;" sq ft "</f>
        <v xml:space="preserve">397.1 sq ft </v>
      </c>
      <c r="E14" s="88" t="str">
        <f>ROUND((E12/2)*E13/1000000, 1) &amp;" m2 "</f>
        <v xml:space="preserve">36.9 m2 </v>
      </c>
      <c r="G14" s="87">
        <f>((C12/2)*C13)/144</f>
        <v>397.13333333333333</v>
      </c>
      <c r="H14" s="91">
        <f>((E12/2)*E13/1000000)</f>
        <v>36.89489395199999</v>
      </c>
    </row>
    <row r="15" spans="1:8" x14ac:dyDescent="0.35">
      <c r="A15" s="78"/>
      <c r="C15" s="79"/>
      <c r="D15" s="84"/>
      <c r="E15" s="79"/>
    </row>
    <row r="16" spans="1:8" x14ac:dyDescent="0.35">
      <c r="A16" s="78" t="s">
        <v>81</v>
      </c>
      <c r="B16" t="s">
        <v>82</v>
      </c>
      <c r="C16" s="79">
        <v>490.8</v>
      </c>
      <c r="D16" s="83" t="str">
        <f t="shared" ref="D16:D17" si="4">INT(C16/12) &amp; " ft. " &amp; ROUND(MOD(C16,12),2) &amp; " in."</f>
        <v>40 ft. 10.8 in.</v>
      </c>
      <c r="E16" s="81">
        <f>C16*$G$1</f>
        <v>12466.32</v>
      </c>
    </row>
    <row r="17" spans="1:8" x14ac:dyDescent="0.35">
      <c r="A17" s="78" t="s">
        <v>83</v>
      </c>
      <c r="B17" t="s">
        <v>84</v>
      </c>
      <c r="C17" s="79">
        <v>190.8</v>
      </c>
      <c r="D17" s="83" t="str">
        <f t="shared" si="4"/>
        <v>15 ft. 10.8 in.</v>
      </c>
      <c r="E17" s="81">
        <f>C17*$G$1</f>
        <v>4846.32</v>
      </c>
    </row>
    <row r="18" spans="1:8" x14ac:dyDescent="0.35">
      <c r="B18" s="89" t="s">
        <v>98</v>
      </c>
      <c r="C18" s="86"/>
      <c r="D18" s="87" t="str">
        <f>ROUND(((C16/2)*C17)/144, 1) &amp;" sq ft "</f>
        <v xml:space="preserve">325.2 sq ft </v>
      </c>
      <c r="E18" s="88" t="str">
        <f>ROUND((E16/2)*E17/1000000, 1) &amp;" m2 "</f>
        <v xml:space="preserve">30.2 m2 </v>
      </c>
      <c r="G18" s="87">
        <f>((C16/2)*C17)/144</f>
        <v>325.15500000000003</v>
      </c>
      <c r="H18" s="91">
        <f>((E16/2)*E17/1000000)</f>
        <v>30.207887971199998</v>
      </c>
    </row>
    <row r="19" spans="1:8" x14ac:dyDescent="0.35">
      <c r="A19" s="78"/>
      <c r="C19"/>
      <c r="D19" s="3"/>
    </row>
    <row r="20" spans="1:8" x14ac:dyDescent="0.35">
      <c r="A20" s="78" t="s">
        <v>85</v>
      </c>
      <c r="B20" t="s">
        <v>86</v>
      </c>
      <c r="C20" s="79">
        <v>349</v>
      </c>
      <c r="D20" s="83" t="str">
        <f t="shared" ref="D20:D21" si="5">INT(C20/12) &amp; " ft. " &amp; ROUND(MOD(C20,12),2) &amp; " in."</f>
        <v>29 ft. 1 in.</v>
      </c>
      <c r="E20" s="81">
        <f>C20*$G$1</f>
        <v>8864.6</v>
      </c>
    </row>
    <row r="21" spans="1:8" x14ac:dyDescent="0.35">
      <c r="A21" s="78" t="s">
        <v>87</v>
      </c>
      <c r="B21" t="s">
        <v>88</v>
      </c>
      <c r="C21" s="79">
        <v>144</v>
      </c>
      <c r="D21" s="83" t="str">
        <f t="shared" si="5"/>
        <v>12 ft. 0 in.</v>
      </c>
      <c r="E21" s="81">
        <f>C21*$G$1</f>
        <v>3657.6</v>
      </c>
    </row>
    <row r="22" spans="1:8" x14ac:dyDescent="0.35">
      <c r="A22" s="78"/>
      <c r="B22" s="89" t="s">
        <v>98</v>
      </c>
      <c r="C22" s="86"/>
      <c r="D22" s="87" t="str">
        <f>ROUND(((C20/2)*C21)/144, 1) &amp;" sq ft "</f>
        <v xml:space="preserve">174.5 sq ft </v>
      </c>
      <c r="E22" s="88" t="str">
        <f>ROUND((E20/2)*E21/1000000, 1) &amp;" m2 "</f>
        <v xml:space="preserve">16.2 m2 </v>
      </c>
      <c r="G22" s="87">
        <f>((C20/2)*C21)/144</f>
        <v>174.5</v>
      </c>
      <c r="H22" s="91">
        <f>((E20/2)*E21/1000000)</f>
        <v>16.211580480000002</v>
      </c>
    </row>
    <row r="23" spans="1:8" x14ac:dyDescent="0.35">
      <c r="A23" s="78"/>
      <c r="C23"/>
      <c r="D23"/>
    </row>
    <row r="24" spans="1:8" x14ac:dyDescent="0.35">
      <c r="A24" s="78" t="s">
        <v>93</v>
      </c>
      <c r="B24" t="s">
        <v>94</v>
      </c>
      <c r="C24" s="79"/>
      <c r="D24" s="83"/>
      <c r="E24" s="82"/>
    </row>
    <row r="25" spans="1:8" x14ac:dyDescent="0.35">
      <c r="A25" s="78" t="s">
        <v>95</v>
      </c>
      <c r="B25" t="s">
        <v>96</v>
      </c>
      <c r="C25" s="79"/>
      <c r="D25" s="80"/>
      <c r="E25" s="82"/>
      <c r="G25" s="87">
        <f>((C23/2)*C24)/144</f>
        <v>0</v>
      </c>
      <c r="H25" s="91">
        <f>((E23/2)*E24/1000000)</f>
        <v>0</v>
      </c>
    </row>
    <row r="26" spans="1:8" x14ac:dyDescent="0.35">
      <c r="A26" s="78"/>
      <c r="B26" s="89" t="s">
        <v>98</v>
      </c>
      <c r="C26" s="86"/>
      <c r="D26" s="87" t="str">
        <f>ROUND(((C24/2)*C25)/144, 1) &amp;" sq ft "</f>
        <v xml:space="preserve">0 sq ft </v>
      </c>
      <c r="E26" s="88" t="str">
        <f>ROUND((E24/2)*E25/1000000, 1) &amp;" m2 "</f>
        <v xml:space="preserve">0 m2 </v>
      </c>
    </row>
    <row r="27" spans="1:8" x14ac:dyDescent="0.35">
      <c r="A27" s="78"/>
      <c r="B27" s="90"/>
      <c r="C27" s="79"/>
      <c r="D27" s="79"/>
      <c r="E27" s="79"/>
    </row>
    <row r="28" spans="1:8" x14ac:dyDescent="0.35">
      <c r="A28" s="78"/>
      <c r="B28" s="89" t="s">
        <v>99</v>
      </c>
      <c r="C28" s="86"/>
      <c r="D28" s="87" t="str">
        <f>ROUND((G25+G22+G18+G14),1) &amp;" sq ft "</f>
        <v xml:space="preserve">896.8 sq ft </v>
      </c>
      <c r="E28" s="87" t="str">
        <f>ROUND((H25+H22+H18+H14),1) &amp;" m2 "</f>
        <v xml:space="preserve">83.3 m2 </v>
      </c>
    </row>
    <row r="30" spans="1:8" x14ac:dyDescent="0.35">
      <c r="A30" s="78" t="s">
        <v>89</v>
      </c>
      <c r="B30" t="s">
        <v>90</v>
      </c>
      <c r="C30" s="79"/>
      <c r="D30" s="80"/>
      <c r="E30" s="82"/>
    </row>
    <row r="31" spans="1:8" x14ac:dyDescent="0.35">
      <c r="A31" s="78" t="s">
        <v>91</v>
      </c>
      <c r="B31" t="s">
        <v>92</v>
      </c>
      <c r="C31" s="79"/>
      <c r="D31" s="80"/>
      <c r="E31" s="82"/>
    </row>
    <row r="32" spans="1:8" x14ac:dyDescent="0.35">
      <c r="A32" s="78"/>
      <c r="B32" s="89" t="s">
        <v>97</v>
      </c>
      <c r="C32" s="86"/>
      <c r="D32" s="87" t="str">
        <f>ROUND(((C30/2)*C31)/144, 1) &amp;" sq ft "</f>
        <v xml:space="preserve">0 sq ft </v>
      </c>
      <c r="E32" s="88" t="str">
        <f>ROUND((E30/2)*E31/1000000, 1) &amp;" m2 "</f>
        <v xml:space="preserve">0 m2 </v>
      </c>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56FC5-3B5A-4B81-BB10-FAB0636589A9}">
  <dimension ref="A1:H32"/>
  <sheetViews>
    <sheetView zoomScaleNormal="100" workbookViewId="0">
      <selection activeCell="D39" sqref="D39"/>
    </sheetView>
  </sheetViews>
  <sheetFormatPr defaultRowHeight="14.5" x14ac:dyDescent="0.35"/>
  <cols>
    <col min="1" max="1" width="9.81640625" customWidth="1"/>
    <col min="2" max="2" width="31.26953125" customWidth="1"/>
    <col min="3" max="3" width="11.453125" style="77" bestFit="1" customWidth="1"/>
    <col min="4" max="4" width="15.6328125" style="78" customWidth="1"/>
    <col min="5" max="5" width="14" bestFit="1" customWidth="1"/>
    <col min="7" max="7" width="11.81640625" bestFit="1" customWidth="1"/>
  </cols>
  <sheetData>
    <row r="1" spans="1:8" x14ac:dyDescent="0.35">
      <c r="A1" s="76"/>
      <c r="B1" s="76"/>
      <c r="C1" s="105" t="s">
        <v>75</v>
      </c>
      <c r="D1" s="85" t="s">
        <v>76</v>
      </c>
      <c r="E1" s="85" t="s">
        <v>60</v>
      </c>
      <c r="G1" s="75">
        <v>25.4</v>
      </c>
    </row>
    <row r="2" spans="1:8" x14ac:dyDescent="0.35">
      <c r="B2" t="s">
        <v>108</v>
      </c>
      <c r="C2" s="79">
        <v>252.2</v>
      </c>
      <c r="D2" s="83" t="str">
        <f t="shared" ref="D2:D5" si="0">INT(C2/12) &amp; " ft. " &amp; ROUND(MOD(C2,12),2) &amp; " in."</f>
        <v>21 ft. 0.2 in.</v>
      </c>
      <c r="E2" s="81">
        <f>C2*$G$1</f>
        <v>6405.8799999999992</v>
      </c>
    </row>
    <row r="3" spans="1:8" x14ac:dyDescent="0.35">
      <c r="B3" t="s">
        <v>115</v>
      </c>
      <c r="C3" s="79">
        <v>463.5</v>
      </c>
      <c r="D3" s="83" t="str">
        <f t="shared" si="0"/>
        <v>38 ft. 7.5 in.</v>
      </c>
      <c r="E3" s="81">
        <f>C3*$G$1</f>
        <v>11772.9</v>
      </c>
    </row>
    <row r="4" spans="1:8" x14ac:dyDescent="0.35">
      <c r="B4" t="s">
        <v>116</v>
      </c>
      <c r="C4" s="102" t="s">
        <v>117</v>
      </c>
      <c r="D4" s="83" t="s">
        <v>117</v>
      </c>
      <c r="E4" s="104" t="s">
        <v>117</v>
      </c>
    </row>
    <row r="5" spans="1:8" x14ac:dyDescent="0.35">
      <c r="B5" t="s">
        <v>109</v>
      </c>
      <c r="C5" s="79">
        <v>54</v>
      </c>
      <c r="D5" s="83" t="str">
        <f t="shared" si="0"/>
        <v>4 ft. 6 in.</v>
      </c>
      <c r="E5" s="81">
        <f t="shared" ref="E5:E10" si="1">C5*$G$1</f>
        <v>1371.6</v>
      </c>
    </row>
    <row r="6" spans="1:8" x14ac:dyDescent="0.35">
      <c r="B6" t="s">
        <v>110</v>
      </c>
      <c r="C6" s="79">
        <v>62</v>
      </c>
      <c r="D6" s="83" t="str">
        <f>INT(C6/12) &amp; " ft. " &amp; ROUND(MOD(C6,12),2) &amp; " in."</f>
        <v>5 ft. 2 in.</v>
      </c>
      <c r="E6" s="81">
        <f t="shared" si="1"/>
        <v>1574.8</v>
      </c>
    </row>
    <row r="7" spans="1:8" x14ac:dyDescent="0.35">
      <c r="B7" t="s">
        <v>113</v>
      </c>
      <c r="C7" s="79">
        <f>C10-C16</f>
        <v>115.19999999999999</v>
      </c>
      <c r="D7" s="83" t="str">
        <f t="shared" ref="D7:D10" si="2">INT(C7/12) &amp; " ft. " &amp; ROUND(MOD(C7,12),2) &amp; " in."</f>
        <v>9 ft. 7.2 in.</v>
      </c>
      <c r="E7" s="81">
        <f t="shared" si="1"/>
        <v>2926.0799999999995</v>
      </c>
    </row>
    <row r="8" spans="1:8" x14ac:dyDescent="0.35">
      <c r="B8" t="s">
        <v>123</v>
      </c>
      <c r="C8" s="79">
        <v>193</v>
      </c>
      <c r="D8" s="83" t="str">
        <f t="shared" si="2"/>
        <v>16 ft. 1 in.</v>
      </c>
      <c r="E8" s="81">
        <f t="shared" si="1"/>
        <v>4902.2</v>
      </c>
    </row>
    <row r="9" spans="1:8" x14ac:dyDescent="0.35">
      <c r="B9" t="s">
        <v>111</v>
      </c>
      <c r="C9" s="79">
        <v>612</v>
      </c>
      <c r="D9" s="83" t="str">
        <f t="shared" si="2"/>
        <v>51 ft. 0 in.</v>
      </c>
      <c r="E9" s="81">
        <f t="shared" si="1"/>
        <v>15544.8</v>
      </c>
    </row>
    <row r="10" spans="1:8" x14ac:dyDescent="0.35">
      <c r="B10" t="s">
        <v>112</v>
      </c>
      <c r="C10" s="79">
        <f>552+54</f>
        <v>606</v>
      </c>
      <c r="D10" s="83" t="str">
        <f t="shared" si="2"/>
        <v>50 ft. 6 in.</v>
      </c>
      <c r="E10" s="81">
        <f t="shared" si="1"/>
        <v>15392.4</v>
      </c>
    </row>
    <row r="11" spans="1:8" x14ac:dyDescent="0.35">
      <c r="C11"/>
      <c r="D11" s="3"/>
    </row>
    <row r="12" spans="1:8" x14ac:dyDescent="0.35">
      <c r="A12" s="78" t="s">
        <v>77</v>
      </c>
      <c r="B12" t="s">
        <v>78</v>
      </c>
      <c r="C12" s="79">
        <v>610</v>
      </c>
      <c r="D12" s="83" t="str">
        <f t="shared" ref="D12:D13" si="3">INT(C12/12) &amp; " ft. " &amp; ROUND(MOD(C12,12),2) &amp; " in."</f>
        <v>50 ft. 10 in.</v>
      </c>
      <c r="E12" s="81">
        <f>C12*$G$1</f>
        <v>15494</v>
      </c>
    </row>
    <row r="13" spans="1:8" x14ac:dyDescent="0.35">
      <c r="A13" s="78" t="s">
        <v>79</v>
      </c>
      <c r="B13" t="s">
        <v>80</v>
      </c>
      <c r="C13" s="79">
        <v>207.2</v>
      </c>
      <c r="D13" s="83" t="str">
        <f t="shared" si="3"/>
        <v>17 ft. 3.2 in.</v>
      </c>
      <c r="E13" s="81">
        <f>C13*$G$1</f>
        <v>5262.8799999999992</v>
      </c>
    </row>
    <row r="14" spans="1:8" x14ac:dyDescent="0.35">
      <c r="A14" s="78"/>
      <c r="B14" s="89" t="s">
        <v>98</v>
      </c>
      <c r="C14" s="86"/>
      <c r="D14" s="87" t="str">
        <f>ROUND(((C12/2)*C13)/144, 1) &amp;" sq ft "</f>
        <v xml:space="preserve">438.9 sq ft </v>
      </c>
      <c r="E14" s="88" t="str">
        <f>ROUND((E12/2)*E13/1000000, 1) &amp;" m2 "</f>
        <v xml:space="preserve">40.8 m2 </v>
      </c>
      <c r="G14" s="87">
        <f>((C12/2)*C13)/144</f>
        <v>438.86111111111109</v>
      </c>
      <c r="H14" s="91">
        <f>((E12/2)*E13/1000000)</f>
        <v>40.77153135999999</v>
      </c>
    </row>
    <row r="15" spans="1:8" x14ac:dyDescent="0.35">
      <c r="A15" s="78"/>
      <c r="C15" s="79"/>
      <c r="D15" s="84"/>
      <c r="E15" s="79"/>
    </row>
    <row r="16" spans="1:8" x14ac:dyDescent="0.35">
      <c r="A16" s="78" t="s">
        <v>81</v>
      </c>
      <c r="B16" t="s">
        <v>82</v>
      </c>
      <c r="C16" s="79">
        <v>490.8</v>
      </c>
      <c r="D16" s="83" t="str">
        <f t="shared" ref="D16:D17" si="4">INT(C16/12) &amp; " ft. " &amp; ROUND(MOD(C16,12),2) &amp; " in."</f>
        <v>40 ft. 10.8 in.</v>
      </c>
      <c r="E16" s="81">
        <f>C16*$G$1</f>
        <v>12466.32</v>
      </c>
    </row>
    <row r="17" spans="1:8" x14ac:dyDescent="0.35">
      <c r="A17" s="78" t="s">
        <v>83</v>
      </c>
      <c r="B17" t="s">
        <v>84</v>
      </c>
      <c r="C17" s="79">
        <v>181.5</v>
      </c>
      <c r="D17" s="83" t="str">
        <f t="shared" si="4"/>
        <v>15 ft. 1.5 in.</v>
      </c>
      <c r="E17" s="81">
        <f>C17*$G$1</f>
        <v>4610.0999999999995</v>
      </c>
    </row>
    <row r="18" spans="1:8" x14ac:dyDescent="0.35">
      <c r="B18" s="89" t="s">
        <v>98</v>
      </c>
      <c r="C18" s="86"/>
      <c r="D18" s="87" t="str">
        <f>ROUND(((C16/2)*C17)/144, 1) &amp;" sq ft "</f>
        <v xml:space="preserve">309.3 sq ft </v>
      </c>
      <c r="E18" s="88" t="str">
        <f>ROUND((E16/2)*E17/1000000, 1) &amp;" m2 "</f>
        <v xml:space="preserve">28.7 m2 </v>
      </c>
      <c r="G18" s="87">
        <f>((C16/2)*C17)/144</f>
        <v>309.30624999999998</v>
      </c>
      <c r="H18" s="91">
        <f>((E16/2)*E17/1000000)</f>
        <v>28.735490915999996</v>
      </c>
    </row>
    <row r="19" spans="1:8" x14ac:dyDescent="0.35">
      <c r="A19" s="78"/>
      <c r="C19"/>
      <c r="D19" s="3"/>
    </row>
    <row r="20" spans="1:8" x14ac:dyDescent="0.35">
      <c r="A20" s="78" t="s">
        <v>85</v>
      </c>
      <c r="B20" t="s">
        <v>86</v>
      </c>
      <c r="C20" s="79">
        <v>367</v>
      </c>
      <c r="D20" s="83" t="str">
        <f t="shared" ref="D20:D21" si="5">INT(C20/12) &amp; " ft. " &amp; ROUND(MOD(C20,12),2) &amp; " in."</f>
        <v>30 ft. 7 in.</v>
      </c>
      <c r="E20" s="81">
        <f>C20*$G$1</f>
        <v>9321.7999999999993</v>
      </c>
    </row>
    <row r="21" spans="1:8" x14ac:dyDescent="0.35">
      <c r="A21" s="78" t="s">
        <v>87</v>
      </c>
      <c r="B21" t="s">
        <v>88</v>
      </c>
      <c r="C21" s="79">
        <v>144</v>
      </c>
      <c r="D21" s="83" t="str">
        <f t="shared" si="5"/>
        <v>12 ft. 0 in.</v>
      </c>
      <c r="E21" s="81">
        <f>C21*$G$1</f>
        <v>3657.6</v>
      </c>
    </row>
    <row r="22" spans="1:8" x14ac:dyDescent="0.35">
      <c r="A22" s="78"/>
      <c r="B22" s="89" t="s">
        <v>98</v>
      </c>
      <c r="C22" s="86"/>
      <c r="D22" s="87" t="str">
        <f>ROUND(((C20/2)*C21)/144, 1) &amp;" sq ft "</f>
        <v xml:space="preserve">183.5 sq ft </v>
      </c>
      <c r="E22" s="88" t="str">
        <f>ROUND((E20/2)*E21/1000000, 1) &amp;" m2 "</f>
        <v xml:space="preserve">17 m2 </v>
      </c>
      <c r="G22" s="87">
        <f>((C20/2)*C21)/144</f>
        <v>183.5</v>
      </c>
      <c r="H22" s="91">
        <f>((E20/2)*E21/1000000)</f>
        <v>17.047707840000001</v>
      </c>
    </row>
    <row r="23" spans="1:8" x14ac:dyDescent="0.35">
      <c r="A23" s="78"/>
      <c r="C23"/>
      <c r="D23"/>
    </row>
    <row r="24" spans="1:8" x14ac:dyDescent="0.35">
      <c r="A24" s="78" t="s">
        <v>93</v>
      </c>
      <c r="B24" t="s">
        <v>94</v>
      </c>
      <c r="C24" s="79"/>
      <c r="D24" s="83"/>
      <c r="E24" s="82"/>
    </row>
    <row r="25" spans="1:8" x14ac:dyDescent="0.35">
      <c r="A25" s="78" t="s">
        <v>95</v>
      </c>
      <c r="B25" t="s">
        <v>96</v>
      </c>
      <c r="C25" s="79"/>
      <c r="D25" s="80"/>
      <c r="E25" s="82"/>
      <c r="G25" s="87">
        <f>((C23/2)*C24)/144</f>
        <v>0</v>
      </c>
      <c r="H25" s="91">
        <f>((E23/2)*E24/1000000)</f>
        <v>0</v>
      </c>
    </row>
    <row r="26" spans="1:8" x14ac:dyDescent="0.35">
      <c r="A26" s="78"/>
      <c r="B26" s="89" t="s">
        <v>98</v>
      </c>
      <c r="C26" s="86"/>
      <c r="D26" s="87" t="str">
        <f>ROUND(((C24/2)*C25)/144, 1) &amp;" sq ft "</f>
        <v xml:space="preserve">0 sq ft </v>
      </c>
      <c r="E26" s="88" t="str">
        <f>ROUND((E24/2)*E25/1000000, 1) &amp;" m2 "</f>
        <v xml:space="preserve">0 m2 </v>
      </c>
    </row>
    <row r="27" spans="1:8" x14ac:dyDescent="0.35">
      <c r="A27" s="78"/>
      <c r="B27" s="90"/>
      <c r="C27" s="79"/>
      <c r="D27" s="79"/>
      <c r="E27" s="79"/>
      <c r="F27" s="79"/>
    </row>
    <row r="28" spans="1:8" x14ac:dyDescent="0.35">
      <c r="A28" s="78"/>
      <c r="B28" s="89" t="s">
        <v>99</v>
      </c>
      <c r="C28" s="86"/>
      <c r="D28" s="87" t="str">
        <f>ROUND((G25+G22+G18+G14),1) &amp;" sq ft "</f>
        <v xml:space="preserve">931.7 sq ft </v>
      </c>
      <c r="E28" s="87" t="str">
        <f>ROUND((H25+H22+H18+H14),1) &amp;" m2 "</f>
        <v xml:space="preserve">86.6 m2 </v>
      </c>
    </row>
    <row r="30" spans="1:8" x14ac:dyDescent="0.35">
      <c r="A30" s="78" t="s">
        <v>89</v>
      </c>
      <c r="B30" t="s">
        <v>90</v>
      </c>
      <c r="C30" s="79"/>
      <c r="D30" s="80"/>
      <c r="E30" s="82"/>
    </row>
    <row r="31" spans="1:8" x14ac:dyDescent="0.35">
      <c r="A31" s="78" t="s">
        <v>91</v>
      </c>
      <c r="B31" t="s">
        <v>92</v>
      </c>
      <c r="C31" s="79"/>
      <c r="D31" s="80"/>
      <c r="E31" s="82"/>
    </row>
    <row r="32" spans="1:8" x14ac:dyDescent="0.35">
      <c r="A32" s="78"/>
      <c r="B32" s="89" t="s">
        <v>97</v>
      </c>
      <c r="C32" s="86"/>
      <c r="D32" s="87" t="str">
        <f>ROUND(((C30/2)*C31)/144, 1) &amp;" sq ft "</f>
        <v xml:space="preserve">0 sq ft </v>
      </c>
      <c r="E32" s="88" t="str">
        <f>ROUND((E30/2)*E31/1000000, 1) &amp;" m2 "</f>
        <v xml:space="preserve">0 m2 </v>
      </c>
    </row>
  </sheetData>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1DF96-004D-47CB-A276-958345E6E99D}">
  <dimension ref="A1:H35"/>
  <sheetViews>
    <sheetView zoomScaleNormal="100" workbookViewId="0">
      <selection activeCell="E35" sqref="A1:E35"/>
    </sheetView>
  </sheetViews>
  <sheetFormatPr defaultRowHeight="14.5" x14ac:dyDescent="0.35"/>
  <cols>
    <col min="1" max="1" width="9.81640625" customWidth="1"/>
    <col min="2" max="2" width="33.6328125" customWidth="1"/>
    <col min="3" max="3" width="11.453125" style="77" bestFit="1" customWidth="1"/>
    <col min="4" max="4" width="15.6328125" style="78" customWidth="1"/>
    <col min="5" max="5" width="14" bestFit="1" customWidth="1"/>
    <col min="7" max="7" width="11.81640625" bestFit="1" customWidth="1"/>
  </cols>
  <sheetData>
    <row r="1" spans="1:8" x14ac:dyDescent="0.35">
      <c r="A1" s="76"/>
      <c r="B1" s="76"/>
      <c r="C1" s="105" t="s">
        <v>75</v>
      </c>
      <c r="D1" s="85" t="s">
        <v>76</v>
      </c>
      <c r="E1" s="85" t="s">
        <v>60</v>
      </c>
      <c r="G1" s="75">
        <v>25.4</v>
      </c>
    </row>
    <row r="2" spans="1:8" x14ac:dyDescent="0.35">
      <c r="B2" t="s">
        <v>108</v>
      </c>
      <c r="C2" s="112">
        <v>284.2</v>
      </c>
      <c r="D2" s="83" t="str">
        <f t="shared" ref="D2:D5" si="0">INT(C2/12) &amp; " ft. " &amp; ROUND(MOD(C2,12),2) &amp; " in."</f>
        <v>23 ft. 8.2 in.</v>
      </c>
      <c r="E2" s="81">
        <f>C2*$G$1</f>
        <v>7218.6799999999994</v>
      </c>
    </row>
    <row r="3" spans="1:8" x14ac:dyDescent="0.35">
      <c r="B3" t="s">
        <v>115</v>
      </c>
      <c r="C3" s="112">
        <v>463.5</v>
      </c>
      <c r="D3" s="83" t="str">
        <f t="shared" si="0"/>
        <v>38 ft. 7.5 in.</v>
      </c>
      <c r="E3" s="81">
        <f>C3*$G$1</f>
        <v>11772.9</v>
      </c>
    </row>
    <row r="4" spans="1:8" x14ac:dyDescent="0.35">
      <c r="B4" t="s">
        <v>116</v>
      </c>
      <c r="C4" s="113" t="s">
        <v>117</v>
      </c>
      <c r="D4" s="83" t="s">
        <v>117</v>
      </c>
      <c r="E4" s="104" t="s">
        <v>117</v>
      </c>
    </row>
    <row r="5" spans="1:8" x14ac:dyDescent="0.35">
      <c r="B5" t="s">
        <v>109</v>
      </c>
      <c r="C5" s="112">
        <v>54</v>
      </c>
      <c r="D5" s="83" t="str">
        <f t="shared" si="0"/>
        <v>4 ft. 6 in.</v>
      </c>
      <c r="E5" s="81">
        <f t="shared" ref="E5:E10" si="1">C5*$G$1</f>
        <v>1371.6</v>
      </c>
    </row>
    <row r="6" spans="1:8" x14ac:dyDescent="0.35">
      <c r="B6" t="s">
        <v>110</v>
      </c>
      <c r="C6" s="112">
        <v>62</v>
      </c>
      <c r="D6" s="83" t="str">
        <f>INT(C6/12) &amp; " ft. " &amp; ROUND(MOD(C6,12),2) &amp; " in."</f>
        <v>5 ft. 2 in.</v>
      </c>
      <c r="E6" s="81">
        <f t="shared" si="1"/>
        <v>1574.8</v>
      </c>
    </row>
    <row r="7" spans="1:8" x14ac:dyDescent="0.35">
      <c r="B7" t="s">
        <v>113</v>
      </c>
      <c r="C7" s="110">
        <f>C10-C16</f>
        <v>123</v>
      </c>
      <c r="D7" s="83" t="str">
        <f t="shared" ref="D7:D10" si="2">INT(C7/12) &amp; " ft. " &amp; ROUND(MOD(C7,12),2) &amp; " in."</f>
        <v>10 ft. 3 in.</v>
      </c>
      <c r="E7" s="81">
        <f t="shared" si="1"/>
        <v>3124.2</v>
      </c>
    </row>
    <row r="8" spans="1:8" x14ac:dyDescent="0.35">
      <c r="B8" t="s">
        <v>123</v>
      </c>
      <c r="C8" s="112">
        <v>173</v>
      </c>
      <c r="D8" s="83" t="str">
        <f t="shared" si="2"/>
        <v>14 ft. 5 in.</v>
      </c>
      <c r="E8" s="81">
        <f t="shared" si="1"/>
        <v>4394.2</v>
      </c>
    </row>
    <row r="9" spans="1:8" x14ac:dyDescent="0.35">
      <c r="B9" t="s">
        <v>111</v>
      </c>
      <c r="C9" s="112">
        <v>552</v>
      </c>
      <c r="D9" s="83" t="str">
        <f t="shared" si="2"/>
        <v>46 ft. 0 in.</v>
      </c>
      <c r="E9" s="81">
        <f t="shared" si="1"/>
        <v>14020.8</v>
      </c>
    </row>
    <row r="10" spans="1:8" x14ac:dyDescent="0.35">
      <c r="B10" t="s">
        <v>112</v>
      </c>
      <c r="C10" s="110">
        <f>552+54</f>
        <v>606</v>
      </c>
      <c r="D10" s="83" t="str">
        <f t="shared" si="2"/>
        <v>50 ft. 6 in.</v>
      </c>
      <c r="E10" s="81">
        <f t="shared" si="1"/>
        <v>15392.4</v>
      </c>
    </row>
    <row r="11" spans="1:8" x14ac:dyDescent="0.35">
      <c r="C11"/>
      <c r="D11" s="3"/>
    </row>
    <row r="12" spans="1:8" x14ac:dyDescent="0.35">
      <c r="A12" s="78" t="s">
        <v>77</v>
      </c>
      <c r="B12" t="s">
        <v>78</v>
      </c>
      <c r="C12" s="112">
        <v>550.4</v>
      </c>
      <c r="D12" s="83" t="str">
        <f t="shared" ref="D12:D13" si="3">INT(C12/12) &amp; " ft. " &amp; ROUND(MOD(C12,12),2) &amp; " in."</f>
        <v>45 ft. 10.4 in.</v>
      </c>
      <c r="E12" s="81">
        <f>C12*$G$1</f>
        <v>13980.159999999998</v>
      </c>
    </row>
    <row r="13" spans="1:8" x14ac:dyDescent="0.35">
      <c r="A13" s="78" t="s">
        <v>79</v>
      </c>
      <c r="B13" t="s">
        <v>80</v>
      </c>
      <c r="C13" s="112">
        <v>174</v>
      </c>
      <c r="D13" s="83" t="str">
        <f t="shared" si="3"/>
        <v>14 ft. 6 in.</v>
      </c>
      <c r="E13" s="81">
        <f>C13*$G$1</f>
        <v>4419.5999999999995</v>
      </c>
    </row>
    <row r="14" spans="1:8" x14ac:dyDescent="0.35">
      <c r="A14" s="78"/>
      <c r="B14" s="89" t="s">
        <v>98</v>
      </c>
      <c r="C14" s="114"/>
      <c r="D14" s="87" t="str">
        <f>ROUND(((C12/2)*C13)/144, 1) &amp;" sq ft "</f>
        <v xml:space="preserve">332.5 sq ft </v>
      </c>
      <c r="E14" s="88" t="str">
        <f>ROUND((E12/2)*E13/1000000, 1) &amp;" m2 "</f>
        <v xml:space="preserve">30.9 m2 </v>
      </c>
      <c r="G14" s="87">
        <f>((C12/2)*C13)/144</f>
        <v>332.5333333333333</v>
      </c>
      <c r="H14" s="91">
        <f>((E12/2)*E13/1000000)</f>
        <v>30.893357567999992</v>
      </c>
    </row>
    <row r="15" spans="1:8" x14ac:dyDescent="0.35">
      <c r="A15" s="78"/>
      <c r="C15" s="112"/>
      <c r="D15" s="84"/>
      <c r="E15" s="79"/>
    </row>
    <row r="16" spans="1:8" x14ac:dyDescent="0.35">
      <c r="A16" s="78" t="s">
        <v>81</v>
      </c>
      <c r="B16" t="s">
        <v>82</v>
      </c>
      <c r="C16" s="112">
        <v>483</v>
      </c>
      <c r="D16" s="83" t="str">
        <f t="shared" ref="D16:D17" si="4">INT(C16/12) &amp; " ft. " &amp; ROUND(MOD(C16,12),2) &amp; " in."</f>
        <v>40 ft. 3 in.</v>
      </c>
      <c r="E16" s="81">
        <f>C16*$G$1</f>
        <v>12268.199999999999</v>
      </c>
    </row>
    <row r="17" spans="1:8" x14ac:dyDescent="0.35">
      <c r="A17" s="78" t="s">
        <v>83</v>
      </c>
      <c r="B17" t="s">
        <v>84</v>
      </c>
      <c r="C17" s="112">
        <v>172</v>
      </c>
      <c r="D17" s="83" t="str">
        <f t="shared" si="4"/>
        <v>14 ft. 4 in.</v>
      </c>
      <c r="E17" s="81">
        <f>C17*$G$1</f>
        <v>4368.8</v>
      </c>
    </row>
    <row r="18" spans="1:8" x14ac:dyDescent="0.35">
      <c r="B18" s="89" t="s">
        <v>98</v>
      </c>
      <c r="C18" s="114"/>
      <c r="D18" s="87" t="str">
        <f>ROUND(((C16/2)*C17)/144, 1) &amp;" sq ft "</f>
        <v xml:space="preserve">288.5 sq ft </v>
      </c>
      <c r="E18" s="88" t="str">
        <f>ROUND((E16/2)*E17/1000000, 1) &amp;" m2 "</f>
        <v xml:space="preserve">26.8 m2 </v>
      </c>
      <c r="G18" s="87">
        <f>((C16/2)*C17)/144</f>
        <v>288.45833333333331</v>
      </c>
      <c r="H18" s="91">
        <f>((E16/2)*E17/1000000)</f>
        <v>26.798656079999997</v>
      </c>
    </row>
    <row r="19" spans="1:8" x14ac:dyDescent="0.35">
      <c r="A19" s="78"/>
      <c r="C19" s="115"/>
      <c r="D19" s="3"/>
    </row>
    <row r="20" spans="1:8" x14ac:dyDescent="0.35">
      <c r="A20" s="78" t="s">
        <v>85</v>
      </c>
      <c r="B20" t="s">
        <v>86</v>
      </c>
      <c r="C20" s="112">
        <v>340</v>
      </c>
      <c r="D20" s="83" t="str">
        <f t="shared" ref="D20:D21" si="5">INT(C20/12) &amp; " ft. " &amp; ROUND(MOD(C20,12),2) &amp; " in."</f>
        <v>28 ft. 4 in.</v>
      </c>
      <c r="E20" s="81">
        <f>C20*$G$1</f>
        <v>8636</v>
      </c>
    </row>
    <row r="21" spans="1:8" x14ac:dyDescent="0.35">
      <c r="A21" s="78" t="s">
        <v>87</v>
      </c>
      <c r="B21" t="s">
        <v>88</v>
      </c>
      <c r="C21" s="112">
        <v>112</v>
      </c>
      <c r="D21" s="83" t="str">
        <f t="shared" si="5"/>
        <v>9 ft. 4 in.</v>
      </c>
      <c r="E21" s="81">
        <f>C21*$G$1</f>
        <v>2844.7999999999997</v>
      </c>
    </row>
    <row r="22" spans="1:8" x14ac:dyDescent="0.35">
      <c r="A22" s="78"/>
      <c r="B22" s="89" t="s">
        <v>98</v>
      </c>
      <c r="C22" s="114"/>
      <c r="D22" s="87" t="str">
        <f>ROUND(((C20/2)*C21)/144, 1) &amp;" sq ft "</f>
        <v xml:space="preserve">132.2 sq ft </v>
      </c>
      <c r="E22" s="88" t="str">
        <f>ROUND((E20/2)*E21/1000000, 1) &amp;" m2 "</f>
        <v xml:space="preserve">12.3 m2 </v>
      </c>
      <c r="G22" s="87">
        <f>((C20/2)*C21)/144</f>
        <v>132.22222222222223</v>
      </c>
      <c r="H22" s="91">
        <f>((E20/2)*E21/1000000)</f>
        <v>12.283846399999998</v>
      </c>
    </row>
    <row r="23" spans="1:8" x14ac:dyDescent="0.35">
      <c r="A23" s="78"/>
      <c r="C23" s="115"/>
      <c r="D23"/>
    </row>
    <row r="24" spans="1:8" x14ac:dyDescent="0.35">
      <c r="A24" s="78" t="s">
        <v>93</v>
      </c>
      <c r="B24" t="s">
        <v>94</v>
      </c>
      <c r="C24" s="112">
        <v>93</v>
      </c>
      <c r="D24" s="83" t="str">
        <f t="shared" ref="D24:D25" si="6">INT(C24/12) &amp; " ft. " &amp; ROUND(MOD(C24,12),2) &amp; " in."</f>
        <v>7 ft. 9 in.</v>
      </c>
      <c r="E24" s="81">
        <f>C24*$G$1</f>
        <v>2362.1999999999998</v>
      </c>
    </row>
    <row r="25" spans="1:8" x14ac:dyDescent="0.35">
      <c r="A25" s="78" t="s">
        <v>95</v>
      </c>
      <c r="B25" t="s">
        <v>96</v>
      </c>
      <c r="C25" s="112">
        <v>363</v>
      </c>
      <c r="D25" s="83" t="str">
        <f t="shared" si="6"/>
        <v>30 ft. 3 in.</v>
      </c>
      <c r="E25" s="81">
        <f>C25*$G$1</f>
        <v>9220.1999999999989</v>
      </c>
      <c r="G25" s="87">
        <f>((C23/2)*C24)/144</f>
        <v>0</v>
      </c>
      <c r="H25" s="91">
        <f>((E23/2)*E24/1000000)</f>
        <v>0</v>
      </c>
    </row>
    <row r="26" spans="1:8" x14ac:dyDescent="0.35">
      <c r="A26" s="78"/>
      <c r="B26" s="89" t="s">
        <v>98</v>
      </c>
      <c r="C26" s="114"/>
      <c r="D26" s="87" t="str">
        <f>ROUND(((C24/2)*C25)/144, 1) &amp;" sq ft "</f>
        <v xml:space="preserve">117.2 sq ft </v>
      </c>
      <c r="E26" s="88" t="str">
        <f>ROUND((E24/2)*E25/1000000, 1) &amp;" m2 "</f>
        <v xml:space="preserve">10.9 m2 </v>
      </c>
    </row>
    <row r="27" spans="1:8" x14ac:dyDescent="0.35">
      <c r="A27" s="78"/>
      <c r="B27" s="90"/>
      <c r="C27" s="112"/>
      <c r="D27" s="79"/>
      <c r="E27" s="79"/>
      <c r="F27" s="79"/>
    </row>
    <row r="28" spans="1:8" x14ac:dyDescent="0.35">
      <c r="A28" s="78"/>
      <c r="B28" s="89" t="s">
        <v>99</v>
      </c>
      <c r="C28" s="114"/>
      <c r="D28" s="87" t="str">
        <f>ROUND((G25+G22+G18+G14),1) &amp;" sq ft "</f>
        <v xml:space="preserve">753.2 sq ft </v>
      </c>
      <c r="E28" s="87" t="str">
        <f>ROUND((H25+H22+H18+H14),1) &amp;" m2 "</f>
        <v xml:space="preserve">70 m2 </v>
      </c>
    </row>
    <row r="29" spans="1:8" x14ac:dyDescent="0.35">
      <c r="C29" s="116"/>
    </row>
    <row r="30" spans="1:8" x14ac:dyDescent="0.35">
      <c r="A30" s="78" t="s">
        <v>89</v>
      </c>
      <c r="B30" t="s">
        <v>90</v>
      </c>
      <c r="C30" s="112"/>
      <c r="D30" s="80"/>
      <c r="E30" s="82"/>
    </row>
    <row r="31" spans="1:8" x14ac:dyDescent="0.35">
      <c r="A31" s="78" t="s">
        <v>91</v>
      </c>
      <c r="B31" t="s">
        <v>92</v>
      </c>
      <c r="C31" s="112"/>
      <c r="D31" s="80"/>
      <c r="E31" s="82"/>
    </row>
    <row r="32" spans="1:8" x14ac:dyDescent="0.35">
      <c r="A32" s="78"/>
      <c r="B32" s="89" t="s">
        <v>97</v>
      </c>
      <c r="C32" s="114"/>
      <c r="D32" s="87" t="str">
        <f>ROUND(((C30/2)*C31)/144, 1) &amp;" sq ft "</f>
        <v xml:space="preserve">0 sq ft </v>
      </c>
      <c r="E32" s="88" t="str">
        <f>ROUND((E30/2)*E31/1000000, 1) &amp;" m2 "</f>
        <v xml:space="preserve">0 m2 </v>
      </c>
    </row>
    <row r="34" spans="2:5" x14ac:dyDescent="0.35">
      <c r="B34" t="s">
        <v>124</v>
      </c>
      <c r="C34" s="112">
        <v>398</v>
      </c>
      <c r="D34" s="83" t="str">
        <f t="shared" ref="D34:D35" si="7">INT(C34/12) &amp; " ft. " &amp; ROUND(MOD(C34,12),2) &amp; " in."</f>
        <v>33 ft. 2 in.</v>
      </c>
      <c r="E34" s="81">
        <f>C34*$G$1</f>
        <v>10109.199999999999</v>
      </c>
    </row>
    <row r="35" spans="2:5" x14ac:dyDescent="0.35">
      <c r="B35" t="s">
        <v>125</v>
      </c>
      <c r="C35" s="77">
        <v>96.5</v>
      </c>
      <c r="D35" s="83" t="str">
        <f t="shared" si="7"/>
        <v>8 ft. 0.5 in.</v>
      </c>
      <c r="E35" s="81">
        <f>C35*$G$1</f>
        <v>2451.1</v>
      </c>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6C8C4-7FFA-489C-AF34-7BC5777653D7}">
  <dimension ref="A1:H32"/>
  <sheetViews>
    <sheetView zoomScaleNormal="100" workbookViewId="0">
      <selection activeCell="E32" sqref="A1:E32"/>
    </sheetView>
  </sheetViews>
  <sheetFormatPr defaultRowHeight="14.5" x14ac:dyDescent="0.35"/>
  <cols>
    <col min="1" max="1" width="9.81640625" customWidth="1"/>
    <col min="2" max="2" width="31.26953125" customWidth="1"/>
    <col min="3" max="3" width="11.453125" style="77" bestFit="1" customWidth="1"/>
    <col min="4" max="4" width="15.6328125" style="78" customWidth="1"/>
    <col min="5" max="5" width="14" bestFit="1" customWidth="1"/>
    <col min="7" max="7" width="11.81640625" bestFit="1" customWidth="1"/>
  </cols>
  <sheetData>
    <row r="1" spans="1:8" x14ac:dyDescent="0.35">
      <c r="A1" s="76"/>
      <c r="B1" s="76"/>
      <c r="C1" s="105" t="s">
        <v>75</v>
      </c>
      <c r="D1" s="85" t="s">
        <v>76</v>
      </c>
      <c r="E1" s="85" t="s">
        <v>60</v>
      </c>
      <c r="G1" s="75">
        <v>25.4</v>
      </c>
    </row>
    <row r="2" spans="1:8" x14ac:dyDescent="0.35">
      <c r="B2" t="s">
        <v>108</v>
      </c>
      <c r="C2" s="112">
        <v>284.2</v>
      </c>
      <c r="D2" s="83" t="str">
        <f t="shared" ref="D2:D5" si="0">INT(C2/12) &amp; " ft. " &amp; ROUND(MOD(C2,12),2) &amp; " in."</f>
        <v>23 ft. 8.2 in.</v>
      </c>
      <c r="E2" s="81">
        <f t="shared" ref="E2:E10" si="1">C2*$G$1</f>
        <v>7218.6799999999994</v>
      </c>
    </row>
    <row r="3" spans="1:8" x14ac:dyDescent="0.35">
      <c r="B3" t="s">
        <v>115</v>
      </c>
      <c r="C3" s="112">
        <v>463.5</v>
      </c>
      <c r="D3" s="83" t="str">
        <f t="shared" si="0"/>
        <v>38 ft. 7.5 in.</v>
      </c>
      <c r="E3" s="81">
        <f t="shared" si="1"/>
        <v>11772.9</v>
      </c>
    </row>
    <row r="4" spans="1:8" x14ac:dyDescent="0.35">
      <c r="B4" t="s">
        <v>116</v>
      </c>
      <c r="C4" s="111">
        <f>C3+36</f>
        <v>499.5</v>
      </c>
      <c r="D4" s="83" t="str">
        <f t="shared" si="0"/>
        <v>41 ft. 7.5 in.</v>
      </c>
      <c r="E4" s="81">
        <f t="shared" si="1"/>
        <v>12687.3</v>
      </c>
    </row>
    <row r="5" spans="1:8" x14ac:dyDescent="0.35">
      <c r="B5" t="s">
        <v>109</v>
      </c>
      <c r="C5" s="112">
        <v>54</v>
      </c>
      <c r="D5" s="83" t="str">
        <f t="shared" si="0"/>
        <v>4 ft. 6 in.</v>
      </c>
      <c r="E5" s="81">
        <f t="shared" si="1"/>
        <v>1371.6</v>
      </c>
    </row>
    <row r="6" spans="1:8" x14ac:dyDescent="0.35">
      <c r="B6" t="s">
        <v>110</v>
      </c>
      <c r="C6" s="112">
        <v>62</v>
      </c>
      <c r="D6" s="83" t="str">
        <f>INT(C6/12) &amp; " ft. " &amp; ROUND(MOD(C6,12),2) &amp; " in."</f>
        <v>5 ft. 2 in.</v>
      </c>
      <c r="E6" s="81">
        <f t="shared" si="1"/>
        <v>1574.8</v>
      </c>
    </row>
    <row r="7" spans="1:8" x14ac:dyDescent="0.35">
      <c r="B7" t="s">
        <v>113</v>
      </c>
      <c r="C7" s="112">
        <v>118</v>
      </c>
      <c r="D7" s="83" t="str">
        <f t="shared" ref="D7:D10" si="2">INT(C7/12) &amp; " ft. " &amp; ROUND(MOD(C7,12),2) &amp; " in."</f>
        <v>9 ft. 10 in.</v>
      </c>
      <c r="E7" s="81">
        <f t="shared" si="1"/>
        <v>2997.2</v>
      </c>
    </row>
    <row r="8" spans="1:8" x14ac:dyDescent="0.35">
      <c r="B8" t="s">
        <v>123</v>
      </c>
      <c r="C8" s="112">
        <v>212</v>
      </c>
      <c r="D8" s="83" t="str">
        <f t="shared" si="2"/>
        <v>17 ft. 8 in.</v>
      </c>
      <c r="E8" s="81">
        <f t="shared" si="1"/>
        <v>5384.7999999999993</v>
      </c>
    </row>
    <row r="9" spans="1:8" x14ac:dyDescent="0.35">
      <c r="B9" t="s">
        <v>111</v>
      </c>
      <c r="C9" s="112">
        <v>594</v>
      </c>
      <c r="D9" s="83" t="str">
        <f t="shared" si="2"/>
        <v>49 ft. 6 in.</v>
      </c>
      <c r="E9" s="81">
        <f t="shared" si="1"/>
        <v>15087.599999999999</v>
      </c>
    </row>
    <row r="10" spans="1:8" x14ac:dyDescent="0.35">
      <c r="B10" t="s">
        <v>112</v>
      </c>
      <c r="C10" s="110">
        <f>552+54</f>
        <v>606</v>
      </c>
      <c r="D10" s="83" t="str">
        <f t="shared" si="2"/>
        <v>50 ft. 6 in.</v>
      </c>
      <c r="E10" s="81">
        <f t="shared" si="1"/>
        <v>15392.4</v>
      </c>
    </row>
    <row r="11" spans="1:8" x14ac:dyDescent="0.35">
      <c r="C11" s="115"/>
      <c r="D11" s="3"/>
    </row>
    <row r="12" spans="1:8" x14ac:dyDescent="0.35">
      <c r="A12" s="78" t="s">
        <v>77</v>
      </c>
      <c r="B12" t="s">
        <v>78</v>
      </c>
      <c r="C12" s="112">
        <v>594</v>
      </c>
      <c r="D12" s="83" t="str">
        <f t="shared" ref="D12:D13" si="3">INT(C12/12) &amp; " ft. " &amp; ROUND(MOD(C12,12),2) &amp; " in."</f>
        <v>49 ft. 6 in.</v>
      </c>
      <c r="E12" s="81">
        <f>C12*$G$1</f>
        <v>15087.599999999999</v>
      </c>
    </row>
    <row r="13" spans="1:8" x14ac:dyDescent="0.35">
      <c r="A13" s="78" t="s">
        <v>79</v>
      </c>
      <c r="B13" t="s">
        <v>80</v>
      </c>
      <c r="C13" s="112">
        <v>235.1</v>
      </c>
      <c r="D13" s="83" t="str">
        <f t="shared" si="3"/>
        <v>19 ft. 7.1 in.</v>
      </c>
      <c r="E13" s="81">
        <f>C13*$G$1</f>
        <v>5971.54</v>
      </c>
    </row>
    <row r="14" spans="1:8" x14ac:dyDescent="0.35">
      <c r="A14" s="78"/>
      <c r="B14" s="89" t="s">
        <v>98</v>
      </c>
      <c r="C14" s="114"/>
      <c r="D14" s="87" t="str">
        <f>ROUND(((C12/2)*C13)/144, 1) &amp;" sq ft "</f>
        <v xml:space="preserve">484.9 sq ft </v>
      </c>
      <c r="E14" s="88" t="str">
        <f>ROUND((E12/2)*E13/1000000, 1) &amp;" m2 "</f>
        <v xml:space="preserve">45 m2 </v>
      </c>
      <c r="G14" s="87">
        <f>((C12/2)*C13)/144</f>
        <v>484.89374999999995</v>
      </c>
      <c r="H14" s="91">
        <f>((E12/2)*E13/1000000)</f>
        <v>45.048103451999992</v>
      </c>
    </row>
    <row r="15" spans="1:8" x14ac:dyDescent="0.35">
      <c r="A15" s="78"/>
      <c r="C15" s="112"/>
      <c r="D15" s="84"/>
      <c r="E15" s="79"/>
    </row>
    <row r="16" spans="1:8" x14ac:dyDescent="0.35">
      <c r="A16" s="78" t="s">
        <v>81</v>
      </c>
      <c r="B16" t="s">
        <v>82</v>
      </c>
      <c r="C16" s="112">
        <v>504</v>
      </c>
      <c r="D16" s="83" t="str">
        <f t="shared" ref="D16:D17" si="4">INT(C16/12) &amp; " ft. " &amp; ROUND(MOD(C16,12),2) &amp; " in."</f>
        <v>42 ft. 0 in.</v>
      </c>
      <c r="E16" s="81">
        <f>C16*$G$1</f>
        <v>12801.599999999999</v>
      </c>
    </row>
    <row r="17" spans="1:8" x14ac:dyDescent="0.35">
      <c r="A17" s="78" t="s">
        <v>83</v>
      </c>
      <c r="B17" t="s">
        <v>84</v>
      </c>
      <c r="C17" s="112">
        <v>210</v>
      </c>
      <c r="D17" s="83" t="str">
        <f t="shared" si="4"/>
        <v>17 ft. 6 in.</v>
      </c>
      <c r="E17" s="81">
        <f>C17*$G$1</f>
        <v>5334</v>
      </c>
    </row>
    <row r="18" spans="1:8" x14ac:dyDescent="0.35">
      <c r="B18" s="89" t="s">
        <v>98</v>
      </c>
      <c r="C18" s="114"/>
      <c r="D18" s="87" t="str">
        <f>ROUND(((C16/2)*C17)/144, 1) &amp;" sq ft "</f>
        <v xml:space="preserve">367.5 sq ft </v>
      </c>
      <c r="E18" s="88" t="str">
        <f>ROUND((E16/2)*E17/1000000, 1) &amp;" m2 "</f>
        <v xml:space="preserve">34.1 m2 </v>
      </c>
      <c r="G18" s="87">
        <f>((C16/2)*C17)/144</f>
        <v>367.5</v>
      </c>
      <c r="H18" s="91">
        <f>((E16/2)*E17/1000000)</f>
        <v>34.141867199999993</v>
      </c>
    </row>
    <row r="19" spans="1:8" x14ac:dyDescent="0.35">
      <c r="A19" s="78"/>
      <c r="C19" s="115"/>
      <c r="D19" s="3"/>
    </row>
    <row r="20" spans="1:8" x14ac:dyDescent="0.35">
      <c r="A20" s="78" t="s">
        <v>85</v>
      </c>
      <c r="B20" t="s">
        <v>86</v>
      </c>
      <c r="C20" s="112">
        <v>416.5</v>
      </c>
      <c r="D20" s="83" t="str">
        <f t="shared" ref="D20:D21" si="5">INT(C20/12) &amp; " ft. " &amp; ROUND(MOD(C20,12),2) &amp; " in."</f>
        <v>34 ft. 8.5 in.</v>
      </c>
      <c r="E20" s="81">
        <f>C20*$G$1</f>
        <v>10579.099999999999</v>
      </c>
    </row>
    <row r="21" spans="1:8" x14ac:dyDescent="0.35">
      <c r="A21" s="78" t="s">
        <v>87</v>
      </c>
      <c r="B21" t="s">
        <v>88</v>
      </c>
      <c r="C21" s="112">
        <v>164</v>
      </c>
      <c r="D21" s="83" t="str">
        <f t="shared" si="5"/>
        <v>13 ft. 8 in.</v>
      </c>
      <c r="E21" s="81">
        <f>C21*$G$1</f>
        <v>4165.5999999999995</v>
      </c>
    </row>
    <row r="22" spans="1:8" x14ac:dyDescent="0.35">
      <c r="A22" s="78"/>
      <c r="B22" s="89" t="s">
        <v>98</v>
      </c>
      <c r="C22" s="114"/>
      <c r="D22" s="87" t="str">
        <f>ROUND(((C20/2)*C21)/144, 1) &amp;" sq ft "</f>
        <v xml:space="preserve">237.2 sq ft </v>
      </c>
      <c r="E22" s="88" t="str">
        <f>ROUND((E20/2)*E21/1000000, 1) &amp;" m2 "</f>
        <v xml:space="preserve">22 m2 </v>
      </c>
      <c r="G22" s="87">
        <f>((C20/2)*C21)/144</f>
        <v>237.17361111111111</v>
      </c>
      <c r="H22" s="91">
        <f>((E20/2)*E21/1000000)</f>
        <v>22.034149479999993</v>
      </c>
    </row>
    <row r="23" spans="1:8" x14ac:dyDescent="0.35">
      <c r="A23" s="78"/>
      <c r="C23"/>
      <c r="D23"/>
    </row>
    <row r="24" spans="1:8" x14ac:dyDescent="0.35">
      <c r="A24" s="78" t="s">
        <v>93</v>
      </c>
      <c r="B24" t="s">
        <v>94</v>
      </c>
      <c r="C24" s="79"/>
      <c r="D24" s="83"/>
      <c r="E24" s="82"/>
    </row>
    <row r="25" spans="1:8" x14ac:dyDescent="0.35">
      <c r="A25" s="78" t="s">
        <v>95</v>
      </c>
      <c r="B25" t="s">
        <v>96</v>
      </c>
      <c r="C25" s="79"/>
      <c r="D25" s="80"/>
      <c r="E25" s="82"/>
      <c r="G25" s="87">
        <f>((C23/2)*C24)/144</f>
        <v>0</v>
      </c>
      <c r="H25" s="91">
        <f>((E23/2)*E24/1000000)</f>
        <v>0</v>
      </c>
    </row>
    <row r="26" spans="1:8" x14ac:dyDescent="0.35">
      <c r="A26" s="78"/>
      <c r="B26" s="89" t="s">
        <v>98</v>
      </c>
      <c r="C26" s="86"/>
      <c r="D26" s="87" t="str">
        <f>ROUND(((C24/2)*C25)/144, 1) &amp;" sq ft "</f>
        <v xml:space="preserve">0 sq ft </v>
      </c>
      <c r="E26" s="88" t="str">
        <f>ROUND((E24/2)*E25/1000000, 1) &amp;" m2 "</f>
        <v xml:space="preserve">0 m2 </v>
      </c>
    </row>
    <row r="27" spans="1:8" x14ac:dyDescent="0.35">
      <c r="A27" s="78"/>
      <c r="B27" s="90"/>
      <c r="C27" s="79"/>
      <c r="D27" s="79"/>
      <c r="E27" s="79"/>
      <c r="F27" s="79"/>
    </row>
    <row r="28" spans="1:8" x14ac:dyDescent="0.35">
      <c r="A28" s="78"/>
      <c r="B28" s="89" t="s">
        <v>99</v>
      </c>
      <c r="C28" s="86"/>
      <c r="D28" s="87" t="str">
        <f>ROUND((G25+G22+G18+G14),1) &amp;" sq ft "</f>
        <v xml:space="preserve">1089.6 sq ft </v>
      </c>
      <c r="E28" s="87" t="str">
        <f>ROUND((H25+H22+H18+H14),1) &amp;" m2 "</f>
        <v xml:space="preserve">101.2 m2 </v>
      </c>
    </row>
    <row r="30" spans="1:8" x14ac:dyDescent="0.35">
      <c r="A30" s="78" t="s">
        <v>89</v>
      </c>
      <c r="B30" t="s">
        <v>90</v>
      </c>
      <c r="C30" s="79"/>
      <c r="D30" s="80"/>
      <c r="E30" s="82"/>
    </row>
    <row r="31" spans="1:8" x14ac:dyDescent="0.35">
      <c r="A31" s="78" t="s">
        <v>91</v>
      </c>
      <c r="B31" t="s">
        <v>92</v>
      </c>
      <c r="C31" s="79"/>
      <c r="D31" s="80"/>
      <c r="E31" s="82"/>
    </row>
    <row r="32" spans="1:8" x14ac:dyDescent="0.35">
      <c r="A32" s="78"/>
      <c r="B32" s="89" t="s">
        <v>97</v>
      </c>
      <c r="C32" s="86"/>
      <c r="D32" s="87" t="str">
        <f>ROUND(((C30/2)*C31)/144, 1) &amp;" sq ft "</f>
        <v xml:space="preserve">0 sq ft </v>
      </c>
      <c r="E32" s="88" t="str">
        <f>ROUND((E30/2)*E31/1000000, 1) &amp;" m2 "</f>
        <v xml:space="preserve">0 m2 </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ABED9B4D5B284287905F055A0CD4E7" ma:contentTypeVersion="13" ma:contentTypeDescription="Create a new document." ma:contentTypeScope="" ma:versionID="f204f0dc8c1bf9139fd486e20a3fb95c">
  <xsd:schema xmlns:xsd="http://www.w3.org/2001/XMLSchema" xmlns:xs="http://www.w3.org/2001/XMLSchema" xmlns:p="http://schemas.microsoft.com/office/2006/metadata/properties" xmlns:ns3="b7440631-1d4b-4416-97de-62bbcc765603" xmlns:ns4="af200557-6db6-4859-a2f6-bd0cd4a7ca54" targetNamespace="http://schemas.microsoft.com/office/2006/metadata/properties" ma:root="true" ma:fieldsID="f7059d229ef4817dbd145dcc81db719f" ns3:_="" ns4:_="">
    <xsd:import namespace="b7440631-1d4b-4416-97de-62bbcc765603"/>
    <xsd:import namespace="af200557-6db6-4859-a2f6-bd0cd4a7ca5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40631-1d4b-4416-97de-62bbcc7656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200557-6db6-4859-a2f6-bd0cd4a7ca5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628E57-77F4-4FAA-AAB7-33D5F58642F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AD33FF5-DF5C-423C-8169-A8C01F07E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40631-1d4b-4416-97de-62bbcc765603"/>
    <ds:schemaRef ds:uri="af200557-6db6-4859-a2f6-bd0cd4a7c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178137-3833-4D7D-B5ED-B3FF8159E7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imperial</vt:lpstr>
      <vt:lpstr>metric</vt:lpstr>
      <vt:lpstr>draught &amp; displacement</vt:lpstr>
      <vt:lpstr>collected</vt:lpstr>
      <vt:lpstr>mk1 cutter 46' mast</vt:lpstr>
      <vt:lpstr>mk1 cutter 51' mast</vt:lpstr>
      <vt:lpstr>mk1 ketch 46' mast</vt:lpstr>
      <vt:lpstr>mk2 cutter 49' mast</vt:lpstr>
      <vt:lpstr>'mk1 cutter 46'' mast'!Print_Area</vt:lpstr>
      <vt:lpstr>'mk1 cutter 51'' mast'!Print_Area</vt:lpstr>
      <vt:lpstr>'mk1 ketch 46'' mast'!Print_Area</vt:lpstr>
      <vt:lpstr>'mk2 cutter 49'' mast'!Print_Area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Sharman</dc:creator>
  <cp:lastModifiedBy>David Sharman</cp:lastModifiedBy>
  <cp:lastPrinted>2020-04-04T14:03:12Z</cp:lastPrinted>
  <dcterms:created xsi:type="dcterms:W3CDTF">2020-03-28T12:38:03Z</dcterms:created>
  <dcterms:modified xsi:type="dcterms:W3CDTF">2020-04-04T14:09:38Z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0x01010087ABED9B4D5B284287905F055A0CD4E7</vt:lpwstr>
  </property>
</Properties>
</file>